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56" windowWidth="18300" windowHeight="12340" tabRatio="684" firstSheet="2" activeTab="2"/>
  </bookViews>
  <sheets>
    <sheet name="time" sheetId="1" r:id="rId1"/>
    <sheet name="horiz" sheetId="2" r:id="rId2"/>
    <sheet name="altitude graph" sheetId="3" r:id="rId3"/>
  </sheets>
  <definedNames>
    <definedName name="_xlnm.Print_Area" localSheetId="2">'altitude graph'!$A$1:$N$32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0"/>
          </rPr>
          <t>No refraction yet</t>
        </r>
      </text>
    </comment>
    <comment ref="A6" authorId="0">
      <text>
        <r>
          <rPr>
            <sz val="8"/>
            <rFont val="Tahoma"/>
            <family val="0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0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0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0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<sst xmlns="http://schemas.openxmlformats.org/spreadsheetml/2006/main" count="119" uniqueCount="98">
  <si>
    <t>A</t>
  </si>
  <si>
    <t>http://www.bodmas.org/kepler/</t>
  </si>
  <si>
    <t>Hour Angle</t>
  </si>
  <si>
    <t>sin</t>
  </si>
  <si>
    <t>cos</t>
  </si>
  <si>
    <t>y</t>
  </si>
  <si>
    <t>x</t>
  </si>
  <si>
    <t>A'</t>
  </si>
  <si>
    <t>i</t>
  </si>
  <si>
    <t>Astronomical time</t>
  </si>
  <si>
    <t>Lat</t>
  </si>
  <si>
    <t>Long</t>
  </si>
  <si>
    <t>m</t>
  </si>
  <si>
    <t>n</t>
  </si>
  <si>
    <t>r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</si>
  <si>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</si>
  <si>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</si>
  <si>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</si>
  <si>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</si>
  <si>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</si>
  <si>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</si>
  <si>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</si>
  <si>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</si>
  <si>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</si>
  <si>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</si>
  <si>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</si>
  <si>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</si>
  <si>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</si>
  <si>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</si>
  <si>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</si>
  <si>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</si>
  <si>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</si>
  <si>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</si>
  <si>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</si>
  <si>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</si>
  <si>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</si>
  <si>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</si>
  <si>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</si>
  <si>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</si>
  <si>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</si>
  <si>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</si>
  <si>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</si>
  <si>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</si>
  <si>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</si>
  <si>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</si>
  <si>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</si>
  <si>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</si>
  <si>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</si>
  <si>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</si>
  <si>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</si>
  <si>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</si>
  <si>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</si>
  <si>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Time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</si>
  <si>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</si>
  <si>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</si>
  <si>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</si>
  <si>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</si>
  <si>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</si>
  <si>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</si>
  <si>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</si>
  <si>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</si>
  <si>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</si>
  <si>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</si>
  <si>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</si>
  <si>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</si>
  <si>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</si>
  <si>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</si>
  <si>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</si>
  <si>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</si>
  <si>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</si>
  <si>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</si>
  <si>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</si>
  <si>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</si>
  <si>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</si>
  <si>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</si>
  <si>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</si>
  <si>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</si>
  <si>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</si>
  <si>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</si>
  <si>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</si>
  <si>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</si>
  <si>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</si>
  <si>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</si>
  <si>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</si>
  <si>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</si>
  <si>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</si>
  <si>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</si>
  <si>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</si>
  <si>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</si>
  <si>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</si>
  <si>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</si>
  <si>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</si>
  <si>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</si>
  <si>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</si>
  <si>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</si>
  <si>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</si>
  <si>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</si>
  <si>
    <t>lambda</t>
  </si>
</sst>
</file>

<file path=xl/styles.xml><?xml version="1.0" encoding="utf-8"?>
<styleSheet xmlns="http://schemas.openxmlformats.org/spreadsheetml/2006/main">
  <numFmts count="4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"/>
    <numFmt numFmtId="180" formatCode="00"/>
    <numFmt numFmtId="181" formatCode="0.000000"/>
    <numFmt numFmtId="182" formatCode="0.00000000"/>
    <numFmt numFmtId="183" formatCode="0.00000000000"/>
    <numFmt numFmtId="184" formatCode="0.000000000000"/>
    <numFmt numFmtId="185" formatCode="0.000"/>
    <numFmt numFmtId="186" formatCode="0.00000"/>
    <numFmt numFmtId="187" formatCode="0.0;[Red]0.0"/>
    <numFmt numFmtId="188" formatCode="0.0_ ;[Red]\-0.0\ "/>
    <numFmt numFmtId="189" formatCode="0.00_ ;[Red]\-0.00\ "/>
    <numFmt numFmtId="190" formatCode="0.0000000000000000"/>
    <numFmt numFmtId="191" formatCode="0.0000000000000"/>
    <numFmt numFmtId="192" formatCode="0.00000000000000"/>
    <numFmt numFmtId="193" formatCode="0.000000000"/>
    <numFmt numFmtId="194" formatCode="0.0000000"/>
    <numFmt numFmtId="195" formatCode="0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19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9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8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8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 wrapText="1"/>
    </xf>
    <xf numFmtId="185" fontId="0" fillId="2" borderId="0" xfId="0" applyNumberFormat="1" applyFill="1" applyAlignment="1">
      <alignment horizontal="center"/>
    </xf>
    <xf numFmtId="0" fontId="6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22398420"/>
        <c:axId val="259189"/>
      </c:scatterChart>
      <c:valAx>
        <c:axId val="22398420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89"/>
        <c:crossesAt val="-18"/>
        <c:crossBetween val="midCat"/>
        <c:dispUnits/>
        <c:majorUnit val="1"/>
        <c:minorUnit val="0.25"/>
      </c:valAx>
      <c:valAx>
        <c:axId val="259189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98420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43000" y="561975"/>
          <a:ext cx="59912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285750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38125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285750</xdr:colOff>
      <xdr:row>22</xdr:row>
      <xdr:rowOff>123825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86175"/>
          <a:ext cx="238125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7" sqref="B17"/>
    </sheetView>
  </sheetViews>
  <sheetFormatPr defaultColWidth="11.421875" defaultRowHeight="12.75"/>
  <cols>
    <col min="1" max="1" width="20.140625" style="0" bestFit="1" customWidth="1"/>
    <col min="2" max="2" width="9.421875" style="0" bestFit="1" customWidth="1"/>
    <col min="3" max="3" width="8.8515625" style="0" customWidth="1"/>
    <col min="4" max="4" width="28.421875" style="0" customWidth="1"/>
    <col min="5" max="5" width="13.28125" style="0" customWidth="1"/>
    <col min="6" max="16384" width="8.8515625" style="0" customWidth="1"/>
  </cols>
  <sheetData>
    <row r="1" ht="18">
      <c r="A1" s="1" t="s">
        <v>52</v>
      </c>
    </row>
    <row r="4" spans="1:4" ht="12.75">
      <c r="A4" s="7" t="s">
        <v>65</v>
      </c>
      <c r="D4" s="7" t="s">
        <v>9</v>
      </c>
    </row>
    <row r="5" spans="1:5" ht="12.75">
      <c r="A5" s="2" t="s">
        <v>61</v>
      </c>
      <c r="B5" s="3">
        <f>-(87+40/60)</f>
        <v>-87.66666666666667</v>
      </c>
      <c r="D5" s="2" t="s">
        <v>63</v>
      </c>
      <c r="E5" s="9">
        <f>367*B11-INT(7*(B11+INT((B12+9)/12))/4)+INT(275*B12/9)+B13+(B14+B15/60)/24-730531.5+(-B7+B8)/24</f>
        <v>1885.9749999999767</v>
      </c>
    </row>
    <row r="6" spans="1:5" ht="12.75">
      <c r="A6" s="2" t="s">
        <v>62</v>
      </c>
      <c r="B6" s="3">
        <f>(41+29/60)</f>
        <v>41.483333333333334</v>
      </c>
      <c r="D6" s="2" t="s">
        <v>60</v>
      </c>
      <c r="E6" s="9">
        <f>E5/36525</f>
        <v>0.05163518138261401</v>
      </c>
    </row>
    <row r="7" spans="1:5" ht="12.75">
      <c r="A7" s="2" t="s">
        <v>58</v>
      </c>
      <c r="B7" s="4">
        <v>0</v>
      </c>
      <c r="D7" s="2" t="s">
        <v>64</v>
      </c>
      <c r="E7" s="9">
        <f>MOD(280.46061837+360.98564736629*E5+B5,360)</f>
        <v>242.70024333370384</v>
      </c>
    </row>
    <row r="8" spans="1:5" ht="12.75">
      <c r="A8" s="2" t="s">
        <v>59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66</v>
      </c>
      <c r="B10" s="3"/>
    </row>
    <row r="11" spans="1:2" ht="12.75">
      <c r="A11" s="2" t="s">
        <v>53</v>
      </c>
      <c r="B11" s="5">
        <v>2005</v>
      </c>
    </row>
    <row r="12" spans="1:2" ht="12">
      <c r="A12" s="2" t="s">
        <v>55</v>
      </c>
      <c r="B12" s="6">
        <v>3</v>
      </c>
    </row>
    <row r="13" spans="1:2" ht="12">
      <c r="A13" s="2" t="s">
        <v>54</v>
      </c>
      <c r="B13" s="6">
        <v>1</v>
      </c>
    </row>
    <row r="14" spans="1:2" ht="12">
      <c r="A14" s="2" t="s">
        <v>56</v>
      </c>
      <c r="B14" s="6">
        <v>11</v>
      </c>
    </row>
    <row r="15" spans="1:2" ht="12">
      <c r="A15" s="2" t="s">
        <v>57</v>
      </c>
      <c r="B15" s="6">
        <v>24</v>
      </c>
    </row>
    <row r="16" spans="1:2" ht="12">
      <c r="A16" s="2"/>
      <c r="B16" s="3"/>
    </row>
    <row r="21" spans="1:2" ht="12">
      <c r="A21" s="2"/>
      <c r="B21" s="3"/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6" sqref="B16"/>
    </sheetView>
  </sheetViews>
  <sheetFormatPr defaultColWidth="11.421875" defaultRowHeight="12.75"/>
  <cols>
    <col min="1" max="1" width="26.421875" style="0" customWidth="1"/>
    <col min="2" max="2" width="12.421875" style="0" bestFit="1" customWidth="1"/>
    <col min="3" max="3" width="8.8515625" style="0" customWidth="1"/>
    <col min="4" max="4" width="25.7109375" style="0" customWidth="1"/>
    <col min="5" max="5" width="10.421875" style="0" bestFit="1" customWidth="1"/>
    <col min="6" max="16384" width="8.8515625" style="0" customWidth="1"/>
  </cols>
  <sheetData>
    <row r="1" ht="18">
      <c r="A1" s="1" t="s">
        <v>68</v>
      </c>
    </row>
    <row r="4" spans="1:9" ht="12.75">
      <c r="A4" s="7" t="s">
        <v>65</v>
      </c>
      <c r="D4" s="7" t="s">
        <v>69</v>
      </c>
      <c r="F4" t="s">
        <v>76</v>
      </c>
      <c r="G4" t="s">
        <v>77</v>
      </c>
      <c r="H4" t="s">
        <v>3</v>
      </c>
      <c r="I4" t="s">
        <v>4</v>
      </c>
    </row>
    <row r="5" spans="1:7" ht="12.75">
      <c r="A5" s="2" t="s">
        <v>61</v>
      </c>
      <c r="B5" s="3">
        <f>-(1+55/60)</f>
        <v>-1.9166666666666665</v>
      </c>
      <c r="D5" s="2" t="s">
        <v>72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62</v>
      </c>
      <c r="B6" s="3">
        <f>(52+30/60)</f>
        <v>52.5</v>
      </c>
      <c r="D6" s="2" t="s">
        <v>73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58</v>
      </c>
      <c r="B7" s="4">
        <v>0</v>
      </c>
    </row>
    <row r="8" spans="1:7" ht="12.75">
      <c r="A8" s="2" t="s">
        <v>59</v>
      </c>
      <c r="B8" s="4">
        <v>0</v>
      </c>
      <c r="D8" s="2" t="s">
        <v>74</v>
      </c>
      <c r="E8" s="9">
        <f>E5+(3.0742+1.33589*SIN(G5)*TAN(G6))/36*B19</f>
        <v>5.2464153406254965</v>
      </c>
      <c r="G8">
        <f>RADIANS(E8*15)</f>
        <v>1.3735083243158208</v>
      </c>
    </row>
    <row r="9" spans="1:9" ht="12.75">
      <c r="A9" s="2"/>
      <c r="B9" s="4"/>
      <c r="D9" s="2" t="s">
        <v>75</v>
      </c>
      <c r="E9" s="9">
        <f>E6+(20.0383*COS(G5))/36*B19</f>
        <v>-8.19600399656998</v>
      </c>
      <c r="G9">
        <f>RADIANS(E9)</f>
        <v>-0.14304725524676018</v>
      </c>
      <c r="H9">
        <f>SIN(G9)</f>
        <v>-0.14255990298249774</v>
      </c>
      <c r="I9">
        <f>COS(G9)</f>
        <v>0.9897861759297413</v>
      </c>
    </row>
    <row r="10" spans="1:2" ht="12.75">
      <c r="A10" s="8" t="s">
        <v>66</v>
      </c>
      <c r="B10" s="3"/>
    </row>
    <row r="11" spans="1:9" ht="12.75">
      <c r="A11" s="2" t="s">
        <v>53</v>
      </c>
      <c r="B11" s="5">
        <v>2005</v>
      </c>
      <c r="D11" s="2" t="s">
        <v>2</v>
      </c>
      <c r="E11">
        <f>MOD(B20-E8*15,360)</f>
        <v>78.2858307337649</v>
      </c>
      <c r="G11">
        <f>RADIANS(E11)</f>
        <v>1.3663455039631658</v>
      </c>
      <c r="H11">
        <f>SIN(G11)</f>
        <v>0.9791726313100945</v>
      </c>
      <c r="I11">
        <f>COS(G11)</f>
        <v>0.20302945129528838</v>
      </c>
    </row>
    <row r="12" spans="1:9" ht="12.75">
      <c r="A12" s="2" t="s">
        <v>55</v>
      </c>
      <c r="B12" s="6">
        <v>3</v>
      </c>
      <c r="D12" s="2" t="s">
        <v>62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54</v>
      </c>
      <c r="B13" s="6">
        <v>1</v>
      </c>
      <c r="J13" s="10" t="s">
        <v>7</v>
      </c>
      <c r="K13" s="10" t="s">
        <v>5</v>
      </c>
      <c r="L13" s="10" t="s">
        <v>6</v>
      </c>
    </row>
    <row r="14" spans="1:12" ht="12.75">
      <c r="A14" s="2" t="s">
        <v>56</v>
      </c>
      <c r="B14" s="6">
        <v>0</v>
      </c>
      <c r="D14" s="12" t="s">
        <v>70</v>
      </c>
      <c r="E14" s="11">
        <f>DEGREES(G14)</f>
        <v>255.74579778585945</v>
      </c>
      <c r="G14">
        <f>IF(L14&lt;0,PI()+J14,IF(K14&lt;0,2*PI()+J14,J14))</f>
        <v>4.463606219502871</v>
      </c>
      <c r="J14">
        <f>ATAN(K14/L14)</f>
        <v>1.3220135659130787</v>
      </c>
      <c r="K14">
        <f>-I9*I12*H11</f>
        <v>-0.5899942481869015</v>
      </c>
      <c r="L14">
        <f>H9-H12*H15</f>
        <v>-0.14988551414265078</v>
      </c>
    </row>
    <row r="15" spans="1:9" ht="12.75">
      <c r="A15" s="2" t="s">
        <v>57</v>
      </c>
      <c r="B15" s="6">
        <v>0</v>
      </c>
      <c r="D15" s="12" t="s">
        <v>71</v>
      </c>
      <c r="E15" s="11">
        <f>DEGREES(G15)</f>
        <v>0.5290613213341983</v>
      </c>
      <c r="G15">
        <f>ASIN(H15)</f>
        <v>0.009233862002233478</v>
      </c>
      <c r="H15">
        <f>H9*H12+I9*I12*I11</f>
        <v>0.009233730783138633</v>
      </c>
      <c r="I15">
        <f>COS(G15)</f>
        <v>0.999957368199177</v>
      </c>
    </row>
    <row r="17" ht="12.75">
      <c r="A17" s="7" t="s">
        <v>67</v>
      </c>
    </row>
    <row r="18" spans="1:2" ht="12.75">
      <c r="A18" s="2" t="s">
        <v>63</v>
      </c>
      <c r="B18" s="9">
        <f>367*B11-INT(7*(B11+INT((B12+9)/12))/4)+INT(275*B12/9)+B13+(B14+B15/60)/24-730531.5+(-B7+B8)/24</f>
        <v>1885.5</v>
      </c>
    </row>
    <row r="19" spans="1:2" ht="12.75">
      <c r="A19" s="2" t="s">
        <v>60</v>
      </c>
      <c r="B19" s="16">
        <f>B18/36525</f>
        <v>0.05162217659137577</v>
      </c>
    </row>
    <row r="20" spans="1:2" ht="12.75">
      <c r="A20" s="2" t="s">
        <v>64</v>
      </c>
      <c r="B20" s="9">
        <f>MOD(280.46061837+360.98564736629*B18+B5,360)</f>
        <v>156.98206084314734</v>
      </c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="133" zoomScaleNormal="133" workbookViewId="0" topLeftCell="A1">
      <selection activeCell="A28" sqref="A28"/>
    </sheetView>
  </sheetViews>
  <sheetFormatPr defaultColWidth="11.421875" defaultRowHeight="12.75"/>
  <cols>
    <col min="1" max="1" width="7.8515625" style="0" customWidth="1"/>
    <col min="2" max="2" width="7.421875" style="0" customWidth="1"/>
    <col min="3" max="3" width="9.00390625" style="0" customWidth="1"/>
    <col min="4" max="4" width="8.28125" style="0" customWidth="1"/>
    <col min="5" max="7" width="8.421875" style="0" bestFit="1" customWidth="1"/>
    <col min="8" max="8" width="10.00390625" style="0" bestFit="1" customWidth="1"/>
    <col min="9" max="9" width="8.140625" style="0" bestFit="1" customWidth="1"/>
    <col min="10" max="11" width="8.421875" style="0" bestFit="1" customWidth="1"/>
    <col min="12" max="12" width="6.00390625" style="0" bestFit="1" customWidth="1"/>
    <col min="13" max="13" width="8.8515625" style="0" customWidth="1"/>
    <col min="14" max="14" width="8.421875" style="0" bestFit="1" customWidth="1"/>
    <col min="15" max="15" width="7.140625" style="0" bestFit="1" customWidth="1"/>
    <col min="16" max="16" width="4.421875" style="0" bestFit="1" customWidth="1"/>
    <col min="17" max="17" width="5.421875" style="0" bestFit="1" customWidth="1"/>
    <col min="18" max="20" width="6.140625" style="0" bestFit="1" customWidth="1"/>
    <col min="21" max="21" width="7.140625" style="0" bestFit="1" customWidth="1"/>
    <col min="22" max="31" width="8.8515625" style="0" customWidth="1"/>
    <col min="32" max="32" width="10.00390625" style="0" bestFit="1" customWidth="1"/>
    <col min="33" max="16384" width="8.8515625" style="0" customWidth="1"/>
  </cols>
  <sheetData>
    <row r="1" spans="1:46" ht="18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2.7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:28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2.75">
      <c r="A4" s="47" t="s">
        <v>17</v>
      </c>
      <c r="B4" s="4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22"/>
      <c r="Q4" s="22"/>
      <c r="R4" s="22"/>
      <c r="S4" s="22"/>
      <c r="T4" s="22"/>
      <c r="U4" s="21"/>
      <c r="V4" s="21"/>
      <c r="W4" s="21"/>
      <c r="X4" s="21"/>
      <c r="Y4" s="21"/>
      <c r="Z4" s="21"/>
      <c r="AA4" s="21"/>
      <c r="AB4" s="21"/>
    </row>
    <row r="5" spans="1:28" ht="12.75">
      <c r="A5" s="23" t="s">
        <v>10</v>
      </c>
      <c r="B5" s="24">
        <v>52.5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1"/>
      <c r="V5" s="21"/>
      <c r="W5" s="21"/>
      <c r="X5" s="21"/>
      <c r="Y5" s="21"/>
      <c r="Z5" s="21"/>
      <c r="AA5" s="21"/>
      <c r="AB5" s="21"/>
    </row>
    <row r="6" spans="1:28" ht="12.75">
      <c r="A6" s="23" t="s">
        <v>11</v>
      </c>
      <c r="B6" s="25">
        <v>-1.91667</v>
      </c>
      <c r="C6" s="1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1"/>
      <c r="V6" s="21"/>
      <c r="W6" s="21"/>
      <c r="X6" s="21"/>
      <c r="Y6" s="21"/>
      <c r="Z6" s="21"/>
      <c r="AA6" s="21"/>
      <c r="AB6" s="21"/>
    </row>
    <row r="7" spans="1:28" ht="12.75">
      <c r="A7" s="23" t="s">
        <v>18</v>
      </c>
      <c r="B7" s="24">
        <v>0</v>
      </c>
      <c r="C7" s="26"/>
      <c r="D7" s="27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1"/>
      <c r="V7" s="21"/>
      <c r="W7" s="21"/>
      <c r="X7" s="21"/>
      <c r="Y7" s="21"/>
      <c r="Z7" s="21"/>
      <c r="AA7" s="21"/>
      <c r="AB7" s="21"/>
    </row>
    <row r="8" spans="1:28" ht="12.75">
      <c r="A8" s="23" t="s">
        <v>59</v>
      </c>
      <c r="B8" s="24">
        <v>1</v>
      </c>
      <c r="C8" s="28"/>
      <c r="D8" s="27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  <c r="S8" s="22"/>
      <c r="T8" s="22"/>
      <c r="U8" s="21"/>
      <c r="V8" s="21"/>
      <c r="W8" s="21"/>
      <c r="X8" s="21"/>
      <c r="Y8" s="21"/>
      <c r="Z8" s="21"/>
      <c r="AA8" s="21"/>
      <c r="AB8" s="21"/>
    </row>
    <row r="9" spans="3:28" ht="12.75">
      <c r="C9" s="28"/>
      <c r="D9" s="27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1"/>
      <c r="V9" s="21"/>
      <c r="W9" s="21"/>
      <c r="X9" s="21"/>
      <c r="Y9" s="21"/>
      <c r="Z9" s="21"/>
      <c r="AA9" s="21"/>
      <c r="AB9" s="21"/>
    </row>
    <row r="10" spans="1:28" ht="12.75">
      <c r="A10" s="50" t="s">
        <v>19</v>
      </c>
      <c r="B10" s="50"/>
      <c r="C10" s="28"/>
      <c r="D10" s="2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</row>
    <row r="11" spans="1:42" ht="12.75">
      <c r="A11" s="23" t="s">
        <v>53</v>
      </c>
      <c r="B11" s="24">
        <v>2005</v>
      </c>
      <c r="C11" s="28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>
      <c r="A12" s="23" t="s">
        <v>55</v>
      </c>
      <c r="B12" s="24">
        <v>7</v>
      </c>
      <c r="C12" s="28"/>
      <c r="D12" s="2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>
      <c r="A13" s="23" t="s">
        <v>54</v>
      </c>
      <c r="B13" s="24">
        <v>16</v>
      </c>
      <c r="C13" s="28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3:42" ht="12.75">
      <c r="C14" s="28"/>
      <c r="D14" s="2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3:42" ht="12.75">
      <c r="C15" s="29"/>
      <c r="D15" s="2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>
      <c r="A16" s="27"/>
      <c r="B16" s="14"/>
      <c r="C16" s="28"/>
      <c r="D16" s="2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>
      <c r="A17" s="27"/>
      <c r="B17" s="14"/>
      <c r="C17" s="28"/>
      <c r="D17" s="2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>
      <c r="A18" s="49" t="s">
        <v>20</v>
      </c>
      <c r="B18" s="49"/>
      <c r="C18" s="28"/>
      <c r="D18" s="2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>
      <c r="A19" s="30" t="s">
        <v>21</v>
      </c>
      <c r="B19" s="31">
        <f>H55*100</f>
        <v>68.71671871344265</v>
      </c>
      <c r="C19" s="28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3:42" ht="12.75">
      <c r="C20" s="27"/>
      <c r="D20" s="2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27"/>
      <c r="B21" s="27"/>
      <c r="C21" s="27"/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>
      <c r="A22" s="32" t="s">
        <v>22</v>
      </c>
      <c r="B22" s="3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>
      <c r="A23" s="34" t="s">
        <v>23</v>
      </c>
      <c r="B23" s="3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>
      <c r="A26" s="21" t="s">
        <v>24</v>
      </c>
      <c r="B26" s="21"/>
      <c r="C26" s="21" t="s">
        <v>25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>
      <c r="A27" s="21"/>
      <c r="B27" s="21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2.75">
      <c r="A29" s="21" t="s">
        <v>26</v>
      </c>
      <c r="B29" s="21"/>
      <c r="C29" t="s">
        <v>27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2.75">
      <c r="A30" s="21"/>
      <c r="B30" s="21"/>
      <c r="C30" s="21" t="s">
        <v>28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7" spans="3:7" ht="12.75">
      <c r="C47" t="s">
        <v>29</v>
      </c>
      <c r="G47" t="s">
        <v>30</v>
      </c>
    </row>
    <row r="49" spans="3:8" ht="12.75">
      <c r="C49" s="2" t="s">
        <v>31</v>
      </c>
      <c r="D49" s="15">
        <f>367*B11-INT(7*(B11+INT((B12+9)/12))/4)+INT(275*B12/9)+B13-730531.5+(-B7-B8)/24</f>
        <v>2022.4583333333333</v>
      </c>
      <c r="E49" s="2"/>
      <c r="G49" s="2" t="s">
        <v>32</v>
      </c>
      <c r="H49">
        <f>DEGREES(MOD(ACOS(COS(RADIANS(O71))*COS(RADIANS(G71-N71))),360))</f>
        <v>111.85074656714745</v>
      </c>
    </row>
    <row r="50" spans="3:8" ht="12.75">
      <c r="C50" s="2" t="s">
        <v>33</v>
      </c>
      <c r="D50" s="15">
        <f>D49/36525</f>
        <v>0.05537189139858544</v>
      </c>
      <c r="E50" s="2"/>
      <c r="G50" s="2" t="s">
        <v>34</v>
      </c>
      <c r="H50">
        <f>(1.00014-0.01671*COS(RADIANS(MOD(357.528+0.9856003*D71,360))))*1.496*10^8</f>
        <v>152071817.36810374</v>
      </c>
    </row>
    <row r="51" spans="3:8" ht="12.75">
      <c r="C51" s="2" t="s">
        <v>35</v>
      </c>
      <c r="D51" s="15">
        <f>MOD(280.46061837+360.98564736629*D49+B6,360)</f>
        <v>276.9746780511923</v>
      </c>
      <c r="E51" s="2"/>
      <c r="G51" s="2" t="s">
        <v>36</v>
      </c>
      <c r="H51">
        <f>Q71*6378</f>
        <v>379055.66483891464</v>
      </c>
    </row>
    <row r="52" spans="3:8" ht="12.75">
      <c r="C52" s="2" t="s">
        <v>37</v>
      </c>
      <c r="D52">
        <f>23.439-0.0000004*$D$49</f>
        <v>23.438191016666668</v>
      </c>
      <c r="E52" s="2"/>
      <c r="G52" s="2" t="s">
        <v>38</v>
      </c>
      <c r="H52">
        <f>H50*SIN(RADIANS(H49))</f>
        <v>141146452.48310393</v>
      </c>
    </row>
    <row r="53" spans="3:8" ht="12.75">
      <c r="C53" s="2" t="s">
        <v>39</v>
      </c>
      <c r="D53">
        <f>180/PI()</f>
        <v>57.29577951308232</v>
      </c>
      <c r="E53" s="2"/>
      <c r="G53" s="2" t="s">
        <v>40</v>
      </c>
      <c r="H53">
        <f>H51-H50*COS(RADIANS(H49))</f>
        <v>56978672.17478341</v>
      </c>
    </row>
    <row r="54" spans="3:8" ht="12.75">
      <c r="C54" s="2" t="s">
        <v>41</v>
      </c>
      <c r="D54">
        <f>TAN(RADIANS(D52/2))^2</f>
        <v>0.04303037492194192</v>
      </c>
      <c r="E54" s="2"/>
      <c r="G54" s="2" t="s">
        <v>8</v>
      </c>
      <c r="H54">
        <f>DEGREES(ATAN2(H53,H52))</f>
        <v>68.01682091789888</v>
      </c>
    </row>
    <row r="55" spans="3:8" ht="12.75">
      <c r="C55" s="2"/>
      <c r="E55" s="2"/>
      <c r="G55" s="2" t="s">
        <v>42</v>
      </c>
      <c r="H55">
        <f>(1+COS(RADIANS(H54)))/2</f>
        <v>0.6871671871344265</v>
      </c>
    </row>
    <row r="57" spans="5:31" ht="12.75">
      <c r="E57" t="s">
        <v>43</v>
      </c>
      <c r="M57" t="s">
        <v>44</v>
      </c>
      <c r="X57" t="s">
        <v>45</v>
      </c>
      <c r="AE57" t="s">
        <v>46</v>
      </c>
    </row>
    <row r="58" spans="3:33" ht="12.75"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97</v>
      </c>
      <c r="H58" s="10" t="s">
        <v>51</v>
      </c>
      <c r="I58" s="10" t="s">
        <v>78</v>
      </c>
      <c r="J58" s="10" t="s">
        <v>79</v>
      </c>
      <c r="K58" s="10" t="s">
        <v>80</v>
      </c>
      <c r="L58" s="10" t="s">
        <v>81</v>
      </c>
      <c r="M58" s="10" t="s">
        <v>82</v>
      </c>
      <c r="N58" s="10" t="s">
        <v>97</v>
      </c>
      <c r="O58" s="10" t="s">
        <v>83</v>
      </c>
      <c r="P58" s="10" t="s">
        <v>84</v>
      </c>
      <c r="Q58" s="10" t="s">
        <v>14</v>
      </c>
      <c r="R58" s="10" t="s">
        <v>85</v>
      </c>
      <c r="S58" s="10" t="s">
        <v>12</v>
      </c>
      <c r="T58" s="10" t="s">
        <v>13</v>
      </c>
      <c r="U58" s="10" t="s">
        <v>0</v>
      </c>
      <c r="V58" s="10" t="s">
        <v>86</v>
      </c>
      <c r="W58" s="10" t="s">
        <v>87</v>
      </c>
      <c r="X58" s="10" t="s">
        <v>88</v>
      </c>
      <c r="Y58" s="10" t="s">
        <v>89</v>
      </c>
      <c r="Z58" s="10" t="s">
        <v>90</v>
      </c>
      <c r="AA58" s="10" t="s">
        <v>91</v>
      </c>
      <c r="AB58" s="10" t="s">
        <v>7</v>
      </c>
      <c r="AC58" s="10" t="s">
        <v>92</v>
      </c>
      <c r="AD58" s="10" t="s">
        <v>93</v>
      </c>
      <c r="AE58" s="10" t="s">
        <v>94</v>
      </c>
      <c r="AF58" s="10" t="s">
        <v>95</v>
      </c>
      <c r="AG58" s="10" t="s">
        <v>96</v>
      </c>
    </row>
    <row r="59" spans="3:33" ht="14.25" customHeight="1">
      <c r="C59" s="10">
        <v>0</v>
      </c>
      <c r="D59" s="17">
        <f aca="true" t="shared" si="0" ref="D59:D83">$D$49+C59/24</f>
        <v>2022.4583333333333</v>
      </c>
      <c r="E59" s="17">
        <f aca="true" t="shared" si="1" ref="E59:E83">MOD(280.461+0.9856474*D59,360)</f>
        <v>113.89179785833312</v>
      </c>
      <c r="F59" s="17">
        <f aca="true" t="shared" si="2" ref="F59:F83">MOD(357.528+0.9856003*D59,360)</f>
        <v>190.86354007083355</v>
      </c>
      <c r="G59" s="17">
        <f aca="true" t="shared" si="3" ref="G59:G83">E59+1.915*SIN(RADIANS(F59))+0.02*SIN(RADIANS(2*F59))</f>
        <v>113.53828049249496</v>
      </c>
      <c r="H59" s="17">
        <f aca="true" t="shared" si="4" ref="H59:H83">G59-$D$53*$D$54*SIN(RADIANS(2*G59))+$D$53/2*$D$54^2*SIN(RADIANS(4*G59))</f>
        <v>115.3965536813549</v>
      </c>
      <c r="I59" s="17">
        <f aca="true" t="shared" si="5" ref="I59:I83">DEGREES(ASIN(SIN(RADIANS($D$52))*SIN(RADIANS(G59))))</f>
        <v>21.386865778257302</v>
      </c>
      <c r="J59" s="17">
        <f aca="true" t="shared" si="6" ref="J59:J83">MOD(280.46061837+360.98564736629*D59+$B$6-H59,360)</f>
        <v>161.57812436984386</v>
      </c>
      <c r="K59" s="17">
        <f aca="true" t="shared" si="7" ref="K59:K83">SIN(RADIANS(I59))*SIN(RADIANS($B$5))+COS(RADIANS(I59))*COS(RADIANS($B$5))*COS(RADIANS(J59))</f>
        <v>-0.2484873261025054</v>
      </c>
      <c r="L59" s="36">
        <f aca="true" t="shared" si="8" ref="L59:L83">DEGREES(ASIN(K59))</f>
        <v>-14.388017980345372</v>
      </c>
      <c r="M59" s="37">
        <f aca="true" t="shared" si="9" ref="M59:M83">D59/36525</f>
        <v>0.05537189139858544</v>
      </c>
      <c r="N59" s="13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219.2125511093298</v>
      </c>
      <c r="O59" s="38">
        <f aca="true" t="shared" si="11" ref="O59:O83">5.13*SIN(RADIANS(MOD(93.3+483202.03*M59,360)))+0.28*SIN(RADIANS(MOD(228.2+960400.87*M59,360)))-0.28*SIN(RADIANS(MOD(318.3+6003.18*M59,360)))-0.17*SIN(RADIANS(MOD(217.6-407332.2*M59,360)))</f>
        <v>-1.9612576117178826</v>
      </c>
      <c r="P59" s="17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0.956049850993406</v>
      </c>
      <c r="Q59" s="17">
        <f aca="true" t="shared" si="13" ref="Q59:Q83">1/SIN(RADIANS(P59))</f>
        <v>59.93247982753339</v>
      </c>
      <c r="R59" s="39">
        <f aca="true" t="shared" si="14" ref="R59:R83">COS(RADIANS(O59))*COS(RADIANS(N59))</f>
        <v>-0.7743521352041031</v>
      </c>
      <c r="S59" s="39">
        <f aca="true" t="shared" si="15" ref="S59:S83">0.9175*COS(RADIANS(O59))*SIN(RADIANS(N59))-0.3978*SIN(RADIANS(O59))</f>
        <v>-0.5660886382525417</v>
      </c>
      <c r="T59" s="39">
        <f aca="true" t="shared" si="16" ref="T59:T83">0.3978*COS(RADIANS(O59))*SIN(RADIANS(N59))+0.9175*SIN(RADIANS(O59))</f>
        <v>-0.28274171906109785</v>
      </c>
      <c r="U59" s="39">
        <f aca="true" t="shared" si="17" ref="U59:U83">DEGREES(ATAN(S59/R59))</f>
        <v>36.1685989088215</v>
      </c>
      <c r="V59" s="39">
        <f aca="true" t="shared" si="18" ref="V59:V83">IF(R59&lt;0,U59+180,IF(S59&lt;0,360+U59,U59))</f>
        <v>216.1685989088215</v>
      </c>
      <c r="W59" s="39">
        <f aca="true" t="shared" si="19" ref="W59:W83">DEGREES(ASIN(T59))</f>
        <v>-16.423907443605035</v>
      </c>
      <c r="X59" s="39">
        <f aca="true" t="shared" si="20" ref="X59:X83">Q59*COS(RADIANS(W59))*COS(RADIANS(V59))-COS(RADIANS($B$5))*COS(RADIANS(MOD(280.46061837+360.98564736629*D59+$B$6,360)))</f>
        <v>-46.48225014510263</v>
      </c>
      <c r="Y59" s="39">
        <f aca="true" t="shared" si="21" ref="Y59:Y83">Q59*COS(RADIANS(W59))*SIN(RADIANS(V59))-COS(RADIANS($B$5))*SIN(RADIANS(MOD(280.46061837+360.98564736629*D59+$B$6,360)))</f>
        <v>-33.32246221082089</v>
      </c>
      <c r="Z59" s="39">
        <f aca="true" t="shared" si="22" ref="Z59:Z83">Q59*SIN(RADIANS(W59))-SIN(RADIANS($B$5))</f>
        <v>-17.7387657143226</v>
      </c>
      <c r="AA59" s="39">
        <f aca="true" t="shared" si="23" ref="AA59:AA83">SQRT(X59*X59+Y59*Y59+Z59*Z59)</f>
        <v>59.88029622013494</v>
      </c>
      <c r="AB59" s="39">
        <f aca="true" t="shared" si="24" ref="AB59:AB83">DEGREES(ATAN(Y59/X59))</f>
        <v>35.636199101097695</v>
      </c>
      <c r="AC59" s="39">
        <f aca="true" t="shared" si="25" ref="AC59:AC83">IF(X59&lt;0,AB59+180,IF(Y59&lt;0,360+AB59,AB59))</f>
        <v>215.6361991010977</v>
      </c>
      <c r="AD59" s="39">
        <f aca="true" t="shared" si="26" ref="AD59:AD83">DEGREES(ASIN(Z59/AA59))</f>
        <v>-17.231734547974032</v>
      </c>
      <c r="AE59" s="39">
        <f aca="true" t="shared" si="27" ref="AE59:AE83">MOD(280.46061837+360.98564736629*D59+$B$6-AC59,360)</f>
        <v>61.33847895008512</v>
      </c>
      <c r="AF59" s="39">
        <f aca="true" t="shared" si="28" ref="AF59:AF83">SIN(RADIANS(AD59))*SIN(RADIANS($B$5))+COS(RADIANS(AD59))*COS(RADIANS($B$5))*COS(RADIANS(AE59))</f>
        <v>0.04385635340958671</v>
      </c>
      <c r="AG59" s="39">
        <f aca="true" t="shared" si="29" ref="AG59:AG83">DEGREES(ASIN(AF59))</f>
        <v>2.5135901594746266</v>
      </c>
    </row>
    <row r="60" spans="3:33" ht="12.75">
      <c r="C60" s="10">
        <v>1</v>
      </c>
      <c r="D60" s="17">
        <f t="shared" si="0"/>
        <v>2022.5</v>
      </c>
      <c r="E60" s="17">
        <f t="shared" si="1"/>
        <v>113.93286649999982</v>
      </c>
      <c r="F60" s="17">
        <f t="shared" si="2"/>
        <v>190.9046067500003</v>
      </c>
      <c r="G60" s="17">
        <f t="shared" si="3"/>
        <v>113.57802787676745</v>
      </c>
      <c r="H60" s="17">
        <f t="shared" si="4"/>
        <v>115.43861802321608</v>
      </c>
      <c r="I60" s="17">
        <f t="shared" si="5"/>
        <v>21.380079738352336</v>
      </c>
      <c r="J60" s="17">
        <f t="shared" si="6"/>
        <v>176.5771286683157</v>
      </c>
      <c r="K60" s="17">
        <f t="shared" si="7"/>
        <v>-0.2766374242089233</v>
      </c>
      <c r="L60" s="36">
        <f t="shared" si="8"/>
        <v>-16.059617748302006</v>
      </c>
      <c r="M60" s="37">
        <f t="shared" si="9"/>
        <v>0.05537303216974675</v>
      </c>
      <c r="N60" s="13">
        <f t="shared" si="10"/>
        <v>219.76415220080867</v>
      </c>
      <c r="O60" s="38">
        <f t="shared" si="11"/>
        <v>-2.006250714812889</v>
      </c>
      <c r="P60" s="17">
        <f t="shared" si="12"/>
        <v>0.9567144944942825</v>
      </c>
      <c r="Q60" s="17">
        <f t="shared" si="13"/>
        <v>59.89084772608914</v>
      </c>
      <c r="R60" s="39">
        <f t="shared" si="14"/>
        <v>-0.7682126729041593</v>
      </c>
      <c r="S60" s="39">
        <f t="shared" si="15"/>
        <v>-0.5725733767191629</v>
      </c>
      <c r="T60" s="39">
        <f t="shared" si="16"/>
        <v>-0.28640872309000565</v>
      </c>
      <c r="U60" s="39">
        <f t="shared" si="17"/>
        <v>36.698336142707426</v>
      </c>
      <c r="V60" s="39">
        <f t="shared" si="18"/>
        <v>216.69833614270743</v>
      </c>
      <c r="W60" s="39">
        <f t="shared" si="19"/>
        <v>-16.643073147736864</v>
      </c>
      <c r="X60" s="39">
        <f t="shared" si="20"/>
        <v>-46.23658464468052</v>
      </c>
      <c r="Y60" s="39">
        <f t="shared" si="21"/>
        <v>-33.72714274626478</v>
      </c>
      <c r="Z60" s="39">
        <f t="shared" si="22"/>
        <v>-17.9466145622984</v>
      </c>
      <c r="AA60" s="39">
        <f t="shared" si="23"/>
        <v>59.97852025249813</v>
      </c>
      <c r="AB60" s="39">
        <f t="shared" si="24"/>
        <v>36.108772882245006</v>
      </c>
      <c r="AC60" s="39">
        <f t="shared" si="25"/>
        <v>216.108772882245</v>
      </c>
      <c r="AD60" s="39">
        <f t="shared" si="26"/>
        <v>-17.41060210082244</v>
      </c>
      <c r="AE60" s="39">
        <f t="shared" si="27"/>
        <v>75.90697380923666</v>
      </c>
      <c r="AF60" s="39">
        <f t="shared" si="28"/>
        <v>-0.09594476723717862</v>
      </c>
      <c r="AG60" s="39">
        <f t="shared" si="29"/>
        <v>-5.505699391437368</v>
      </c>
    </row>
    <row r="61" spans="3:33" ht="12.75">
      <c r="C61" s="10">
        <v>2</v>
      </c>
      <c r="D61" s="17">
        <f t="shared" si="0"/>
        <v>2022.5416666666665</v>
      </c>
      <c r="E61" s="17">
        <f t="shared" si="1"/>
        <v>113.97393514166652</v>
      </c>
      <c r="F61" s="17">
        <f t="shared" si="2"/>
        <v>190.94567342916662</v>
      </c>
      <c r="G61" s="17">
        <f t="shared" si="3"/>
        <v>113.61777543187925</v>
      </c>
      <c r="H61" s="17">
        <f t="shared" si="4"/>
        <v>115.48067865873838</v>
      </c>
      <c r="I61" s="17">
        <f t="shared" si="5"/>
        <v>21.37328318941208</v>
      </c>
      <c r="J61" s="17">
        <f t="shared" si="6"/>
        <v>191.57613667298574</v>
      </c>
      <c r="K61" s="17">
        <f t="shared" si="7"/>
        <v>-0.2662313825670744</v>
      </c>
      <c r="L61" s="36">
        <f t="shared" si="8"/>
        <v>-15.440134591455582</v>
      </c>
      <c r="M61" s="37">
        <f t="shared" si="9"/>
        <v>0.05537417294090805</v>
      </c>
      <c r="N61" s="13">
        <f t="shared" si="10"/>
        <v>220.31659233025366</v>
      </c>
      <c r="O61" s="38">
        <f t="shared" si="11"/>
        <v>-2.051092344060653</v>
      </c>
      <c r="P61" s="17">
        <f t="shared" si="12"/>
        <v>0.9573806450411909</v>
      </c>
      <c r="Q61" s="17">
        <f t="shared" si="13"/>
        <v>59.84917922998122</v>
      </c>
      <c r="R61" s="39">
        <f t="shared" si="14"/>
        <v>-0.7619924784595222</v>
      </c>
      <c r="S61" s="39">
        <f t="shared" si="15"/>
        <v>-0.5790143752987537</v>
      </c>
      <c r="T61" s="39">
        <f t="shared" si="16"/>
        <v>-0.2900538595712551</v>
      </c>
      <c r="U61" s="39">
        <f t="shared" si="17"/>
        <v>37.23007181937308</v>
      </c>
      <c r="V61" s="39">
        <f t="shared" si="18"/>
        <v>217.23007181937308</v>
      </c>
      <c r="W61" s="39">
        <f t="shared" si="19"/>
        <v>-16.86118054341211</v>
      </c>
      <c r="X61" s="39">
        <f t="shared" si="20"/>
        <v>-45.97093469099144</v>
      </c>
      <c r="Y61" s="39">
        <f t="shared" si="21"/>
        <v>-34.167314829625845</v>
      </c>
      <c r="Z61" s="39">
        <f t="shared" si="22"/>
        <v>-18.15283876811909</v>
      </c>
      <c r="AA61" s="39">
        <f t="shared" si="23"/>
        <v>60.08542081380056</v>
      </c>
      <c r="AB61" s="39">
        <f t="shared" si="24"/>
        <v>36.62110930746165</v>
      </c>
      <c r="AC61" s="39">
        <f t="shared" si="25"/>
        <v>216.62110930746167</v>
      </c>
      <c r="AD61" s="39">
        <f t="shared" si="26"/>
        <v>-17.58481120395437</v>
      </c>
      <c r="AE61" s="39">
        <f t="shared" si="27"/>
        <v>90.43570602417458</v>
      </c>
      <c r="AF61" s="39">
        <f t="shared" si="28"/>
        <v>-0.2440986471570608</v>
      </c>
      <c r="AG61" s="39">
        <f t="shared" si="29"/>
        <v>-14.128572844592387</v>
      </c>
    </row>
    <row r="62" spans="3:33" ht="12.75">
      <c r="C62" s="10">
        <v>3</v>
      </c>
      <c r="D62" s="17">
        <f t="shared" si="0"/>
        <v>2022.5833333333333</v>
      </c>
      <c r="E62" s="17">
        <f t="shared" si="1"/>
        <v>114.01500378333321</v>
      </c>
      <c r="F62" s="17">
        <f t="shared" si="2"/>
        <v>190.98674010833292</v>
      </c>
      <c r="G62" s="17">
        <f t="shared" si="3"/>
        <v>113.65752315846797</v>
      </c>
      <c r="H62" s="17">
        <f t="shared" si="4"/>
        <v>115.52273558415867</v>
      </c>
      <c r="I62" s="17">
        <f t="shared" si="5"/>
        <v>21.36647613582688</v>
      </c>
      <c r="J62" s="17">
        <f t="shared" si="6"/>
        <v>206.57514838781208</v>
      </c>
      <c r="K62" s="17">
        <f t="shared" si="7"/>
        <v>-0.2179806566164279</v>
      </c>
      <c r="L62" s="36">
        <f t="shared" si="8"/>
        <v>-12.590454874146294</v>
      </c>
      <c r="M62" s="37">
        <f t="shared" si="9"/>
        <v>0.05537531371206936</v>
      </c>
      <c r="N62" s="13">
        <f t="shared" si="10"/>
        <v>220.8698744329025</v>
      </c>
      <c r="O62" s="38">
        <f t="shared" si="11"/>
        <v>-2.0957773938241666</v>
      </c>
      <c r="P62" s="17">
        <f t="shared" si="12"/>
        <v>0.9580482163877555</v>
      </c>
      <c r="Q62" s="17">
        <f t="shared" si="13"/>
        <v>59.807479995330645</v>
      </c>
      <c r="R62" s="39">
        <f t="shared" si="14"/>
        <v>-0.7556917941581326</v>
      </c>
      <c r="S62" s="39">
        <f t="shared" si="15"/>
        <v>-0.5854108247405466</v>
      </c>
      <c r="T62" s="39">
        <f t="shared" si="16"/>
        <v>-0.2936766802929232</v>
      </c>
      <c r="U62" s="39">
        <f t="shared" si="17"/>
        <v>37.763825358960325</v>
      </c>
      <c r="V62" s="39">
        <f t="shared" si="18"/>
        <v>217.76382535896033</v>
      </c>
      <c r="W62" s="39">
        <f t="shared" si="19"/>
        <v>-17.078202287268724</v>
      </c>
      <c r="X62" s="39">
        <f t="shared" si="20"/>
        <v>-45.67583006064079</v>
      </c>
      <c r="Y62" s="39">
        <f t="shared" si="21"/>
        <v>-34.63755548512064</v>
      </c>
      <c r="Z62" s="39">
        <f t="shared" si="22"/>
        <v>-18.357415522005354</v>
      </c>
      <c r="AA62" s="39">
        <f t="shared" si="23"/>
        <v>60.191663927498396</v>
      </c>
      <c r="AB62" s="39">
        <f t="shared" si="24"/>
        <v>37.17429546835177</v>
      </c>
      <c r="AC62" s="39">
        <f t="shared" si="25"/>
        <v>217.17429546835177</v>
      </c>
      <c r="AD62" s="39">
        <f t="shared" si="26"/>
        <v>-17.757122440722092</v>
      </c>
      <c r="AE62" s="39">
        <f t="shared" si="27"/>
        <v>104.9235885036178</v>
      </c>
      <c r="AF62" s="39">
        <f t="shared" si="28"/>
        <v>-0.3912646693547619</v>
      </c>
      <c r="AG62" s="39">
        <f t="shared" si="29"/>
        <v>-23.0332137336216</v>
      </c>
    </row>
    <row r="63" spans="3:33" ht="12.75">
      <c r="C63" s="10">
        <v>4</v>
      </c>
      <c r="D63" s="17">
        <f t="shared" si="0"/>
        <v>2022.625</v>
      </c>
      <c r="E63" s="17">
        <f t="shared" si="1"/>
        <v>114.05607242499991</v>
      </c>
      <c r="F63" s="17">
        <f t="shared" si="2"/>
        <v>191.02780678749969</v>
      </c>
      <c r="G63" s="17">
        <f t="shared" si="3"/>
        <v>113.6972710571712</v>
      </c>
      <c r="H63" s="17">
        <f t="shared" si="4"/>
        <v>115.56478879572323</v>
      </c>
      <c r="I63" s="17">
        <f t="shared" si="5"/>
        <v>21.359658581992218</v>
      </c>
      <c r="J63" s="17">
        <f t="shared" si="6"/>
        <v>221.57416381652</v>
      </c>
      <c r="K63" s="17">
        <f t="shared" si="7"/>
        <v>-0.13517560361779496</v>
      </c>
      <c r="L63" s="36">
        <f t="shared" si="8"/>
        <v>-7.7687743139700505</v>
      </c>
      <c r="M63" s="37">
        <f t="shared" si="9"/>
        <v>0.05537645448323066</v>
      </c>
      <c r="N63" s="13">
        <f t="shared" si="10"/>
        <v>221.42400131821947</v>
      </c>
      <c r="O63" s="38">
        <f t="shared" si="11"/>
        <v>-2.1403007515124215</v>
      </c>
      <c r="P63" s="17">
        <f t="shared" si="12"/>
        <v>0.9587171215256172</v>
      </c>
      <c r="Q63" s="17">
        <f t="shared" si="13"/>
        <v>59.76575569529193</v>
      </c>
      <c r="R63" s="39">
        <f t="shared" si="14"/>
        <v>-0.7493108738337844</v>
      </c>
      <c r="S63" s="39">
        <f t="shared" si="15"/>
        <v>-0.5917619128184404</v>
      </c>
      <c r="T63" s="39">
        <f t="shared" si="16"/>
        <v>-0.29727673564177903</v>
      </c>
      <c r="U63" s="39">
        <f t="shared" si="17"/>
        <v>38.29961584487038</v>
      </c>
      <c r="V63" s="39">
        <f t="shared" si="18"/>
        <v>218.29961584487037</v>
      </c>
      <c r="W63" s="39">
        <f t="shared" si="19"/>
        <v>-17.29411074669393</v>
      </c>
      <c r="X63" s="39">
        <f t="shared" si="20"/>
        <v>-45.34352338737373</v>
      </c>
      <c r="Y63" s="39">
        <f t="shared" si="21"/>
        <v>-35.13016096941016</v>
      </c>
      <c r="Z63" s="39">
        <f t="shared" si="22"/>
        <v>-18.560322096551687</v>
      </c>
      <c r="AA63" s="39">
        <f t="shared" si="23"/>
        <v>60.28804922408521</v>
      </c>
      <c r="AB63" s="39">
        <f t="shared" si="24"/>
        <v>37.76694447112611</v>
      </c>
      <c r="AC63" s="39">
        <f t="shared" si="25"/>
        <v>217.76694447112612</v>
      </c>
      <c r="AD63" s="39">
        <f t="shared" si="26"/>
        <v>-17.930354595769522</v>
      </c>
      <c r="AE63" s="39">
        <f t="shared" si="27"/>
        <v>119.37200814113021</v>
      </c>
      <c r="AF63" s="39">
        <f t="shared" si="28"/>
        <v>-0.5283246533619201</v>
      </c>
      <c r="AG63" s="39">
        <f t="shared" si="29"/>
        <v>-31.89232814137915</v>
      </c>
    </row>
    <row r="64" spans="3:33" ht="12.75">
      <c r="C64" s="10">
        <v>5</v>
      </c>
      <c r="D64" s="17">
        <f t="shared" si="0"/>
        <v>2022.6666666666665</v>
      </c>
      <c r="E64" s="17">
        <f t="shared" si="1"/>
        <v>114.09714106666615</v>
      </c>
      <c r="F64" s="17">
        <f t="shared" si="2"/>
        <v>191.06887346666645</v>
      </c>
      <c r="G64" s="17">
        <f t="shared" si="3"/>
        <v>113.73701912862609</v>
      </c>
      <c r="H64" s="17">
        <f t="shared" si="4"/>
        <v>115.60683828968736</v>
      </c>
      <c r="I64" s="17">
        <f t="shared" si="5"/>
        <v>21.35283053230878</v>
      </c>
      <c r="J64" s="17">
        <f t="shared" si="6"/>
        <v>236.57318296283484</v>
      </c>
      <c r="K64" s="17">
        <f t="shared" si="7"/>
        <v>-0.02346151450410988</v>
      </c>
      <c r="L64" s="36">
        <f t="shared" si="8"/>
        <v>-1.3443691143299565</v>
      </c>
      <c r="M64" s="37">
        <f t="shared" si="9"/>
        <v>0.05537759525439197</v>
      </c>
      <c r="N64" s="13">
        <f t="shared" si="10"/>
        <v>221.97897566861388</v>
      </c>
      <c r="O64" s="38">
        <f t="shared" si="11"/>
        <v>-2.1846572983997206</v>
      </c>
      <c r="P64" s="17">
        <f t="shared" si="12"/>
        <v>0.9593872727012444</v>
      </c>
      <c r="Q64" s="17">
        <f t="shared" si="13"/>
        <v>59.72401201867501</v>
      </c>
      <c r="R64" s="39">
        <f t="shared" si="14"/>
        <v>-0.7428499830314242</v>
      </c>
      <c r="S64" s="39">
        <f t="shared" si="15"/>
        <v>-0.5980668244602652</v>
      </c>
      <c r="T64" s="39">
        <f t="shared" si="16"/>
        <v>-0.30085357467531737</v>
      </c>
      <c r="U64" s="39">
        <f t="shared" si="17"/>
        <v>38.837462008455184</v>
      </c>
      <c r="V64" s="39">
        <f t="shared" si="18"/>
        <v>218.8374620084552</v>
      </c>
      <c r="W64" s="39">
        <f t="shared" si="19"/>
        <v>-17.50887800146342</v>
      </c>
      <c r="X64" s="39">
        <f t="shared" si="20"/>
        <v>-44.96852307313519</v>
      </c>
      <c r="Y64" s="39">
        <f t="shared" si="21"/>
        <v>-35.635671882395776</v>
      </c>
      <c r="Z64" s="39">
        <f t="shared" si="22"/>
        <v>-18.761535850061232</v>
      </c>
      <c r="AA64" s="39">
        <f t="shared" si="23"/>
        <v>60.366086549833575</v>
      </c>
      <c r="AB64" s="39">
        <f t="shared" si="24"/>
        <v>38.39535116636501</v>
      </c>
      <c r="AC64" s="39">
        <f t="shared" si="25"/>
        <v>218.395351166365</v>
      </c>
      <c r="AD64" s="39">
        <f t="shared" si="26"/>
        <v>-18.107205303495675</v>
      </c>
      <c r="AE64" s="39">
        <f t="shared" si="27"/>
        <v>133.78467008611187</v>
      </c>
      <c r="AF64" s="39">
        <f t="shared" si="28"/>
        <v>-0.646942664327556</v>
      </c>
      <c r="AG64" s="39">
        <f t="shared" si="29"/>
        <v>-40.31148651281086</v>
      </c>
    </row>
    <row r="65" spans="3:33" ht="12.75">
      <c r="C65" s="10">
        <v>6</v>
      </c>
      <c r="D65" s="17">
        <f t="shared" si="0"/>
        <v>2022.7083333333333</v>
      </c>
      <c r="E65" s="17">
        <f t="shared" si="1"/>
        <v>114.1382097083333</v>
      </c>
      <c r="F65" s="17">
        <f t="shared" si="2"/>
        <v>191.1099401458332</v>
      </c>
      <c r="G65" s="17">
        <f t="shared" si="3"/>
        <v>113.77676737347142</v>
      </c>
      <c r="H65" s="17">
        <f t="shared" si="4"/>
        <v>115.6488840623176</v>
      </c>
      <c r="I65" s="17">
        <f t="shared" si="5"/>
        <v>21.34599199118207</v>
      </c>
      <c r="J65" s="17">
        <f t="shared" si="6"/>
        <v>251.57220583048183</v>
      </c>
      <c r="K65" s="17">
        <f t="shared" si="7"/>
        <v>0.10954584594689146</v>
      </c>
      <c r="L65" s="36">
        <f t="shared" si="8"/>
        <v>6.289136248931807</v>
      </c>
      <c r="M65" s="37">
        <f t="shared" si="9"/>
        <v>0.05537873602555327</v>
      </c>
      <c r="N65" s="13">
        <f t="shared" si="10"/>
        <v>222.53480003818834</v>
      </c>
      <c r="O65" s="38">
        <f t="shared" si="11"/>
        <v>-2.22884191045601</v>
      </c>
      <c r="P65" s="17">
        <f t="shared" si="12"/>
        <v>0.9600585814330288</v>
      </c>
      <c r="Q65" s="17">
        <f t="shared" si="13"/>
        <v>59.68225466856939</v>
      </c>
      <c r="R65" s="39">
        <f t="shared" si="14"/>
        <v>-0.7363093991707629</v>
      </c>
      <c r="S65" s="39">
        <f t="shared" si="15"/>
        <v>-0.604324741881597</v>
      </c>
      <c r="T65" s="39">
        <f t="shared" si="16"/>
        <v>-0.30440674519595784</v>
      </c>
      <c r="U65" s="39">
        <f t="shared" si="17"/>
        <v>39.377382213364996</v>
      </c>
      <c r="V65" s="39">
        <f t="shared" si="18"/>
        <v>219.377382213365</v>
      </c>
      <c r="W65" s="39">
        <f t="shared" si="19"/>
        <v>-17.722475845652717</v>
      </c>
      <c r="X65" s="39">
        <f t="shared" si="20"/>
        <v>-44.54797167087211</v>
      </c>
      <c r="Y65" s="39">
        <f t="shared" si="21"/>
        <v>-36.14351858416893</v>
      </c>
      <c r="Z65" s="39">
        <f t="shared" si="22"/>
        <v>-18.96103422990671</v>
      </c>
      <c r="AA65" s="39">
        <f t="shared" si="23"/>
        <v>60.41851152337902</v>
      </c>
      <c r="AB65" s="39">
        <f t="shared" si="24"/>
        <v>39.05377650342533</v>
      </c>
      <c r="AC65" s="39">
        <f t="shared" si="25"/>
        <v>219.05377650342533</v>
      </c>
      <c r="AD65" s="39">
        <f t="shared" si="26"/>
        <v>-18.29008930019589</v>
      </c>
      <c r="AE65" s="39">
        <f t="shared" si="27"/>
        <v>148.1673133893637</v>
      </c>
      <c r="AF65" s="39">
        <f t="shared" si="28"/>
        <v>-0.7400464702122572</v>
      </c>
      <c r="AG65" s="39">
        <f t="shared" si="29"/>
        <v>-47.7353742695752</v>
      </c>
    </row>
    <row r="66" spans="3:33" ht="12.75">
      <c r="C66" s="10">
        <v>7</v>
      </c>
      <c r="D66" s="17">
        <f t="shared" si="0"/>
        <v>2022.75</v>
      </c>
      <c r="E66" s="17">
        <f t="shared" si="1"/>
        <v>114.17927835</v>
      </c>
      <c r="F66" s="17">
        <f t="shared" si="2"/>
        <v>191.15100682499997</v>
      </c>
      <c r="G66" s="17">
        <f t="shared" si="3"/>
        <v>113.81651579234327</v>
      </c>
      <c r="H66" s="17">
        <f t="shared" si="4"/>
        <v>115.69092610988714</v>
      </c>
      <c r="I66" s="17">
        <f t="shared" si="5"/>
        <v>21.33914296302321</v>
      </c>
      <c r="J66" s="17">
        <f t="shared" si="6"/>
        <v>266.5712324231863</v>
      </c>
      <c r="K66" s="17">
        <f t="shared" si="7"/>
        <v>0.2547790080914729</v>
      </c>
      <c r="L66" s="36">
        <f t="shared" si="8"/>
        <v>14.760490741295895</v>
      </c>
      <c r="M66" s="37">
        <f t="shared" si="9"/>
        <v>0.05537987679671458</v>
      </c>
      <c r="N66" s="13">
        <f t="shared" si="10"/>
        <v>223.0914768515145</v>
      </c>
      <c r="O66" s="38">
        <f t="shared" si="11"/>
        <v>-2.2728494591825954</v>
      </c>
      <c r="P66" s="17">
        <f t="shared" si="12"/>
        <v>0.960730958528654</v>
      </c>
      <c r="Q66" s="17">
        <f t="shared" si="13"/>
        <v>59.640489360971515</v>
      </c>
      <c r="R66" s="39">
        <f t="shared" si="14"/>
        <v>-0.7296894117081039</v>
      </c>
      <c r="S66" s="39">
        <f t="shared" si="15"/>
        <v>-0.6105348447241299</v>
      </c>
      <c r="T66" s="39">
        <f t="shared" si="16"/>
        <v>-0.3079357938273027</v>
      </c>
      <c r="U66" s="39">
        <f t="shared" si="17"/>
        <v>39.919394439554566</v>
      </c>
      <c r="V66" s="39">
        <f t="shared" si="18"/>
        <v>219.91939443955457</v>
      </c>
      <c r="W66" s="39">
        <f t="shared" si="19"/>
        <v>-17.93487578982278</v>
      </c>
      <c r="X66" s="39">
        <f t="shared" si="20"/>
        <v>-44.08184381241798</v>
      </c>
      <c r="Y66" s="39">
        <f t="shared" si="21"/>
        <v>-36.64274269460981</v>
      </c>
      <c r="Z66" s="39">
        <f t="shared" si="22"/>
        <v>-19.1587947759108</v>
      </c>
      <c r="AA66" s="39">
        <f t="shared" si="23"/>
        <v>60.43971346185602</v>
      </c>
      <c r="AB66" s="39">
        <f t="shared" si="24"/>
        <v>39.734830357516245</v>
      </c>
      <c r="AC66" s="39">
        <f t="shared" si="25"/>
        <v>219.73483035751624</v>
      </c>
      <c r="AD66" s="39">
        <f t="shared" si="26"/>
        <v>-18.48100015803833</v>
      </c>
      <c r="AE66" s="39">
        <f t="shared" si="27"/>
        <v>162.527328175609</v>
      </c>
      <c r="AF66" s="39">
        <f t="shared" si="28"/>
        <v>-0.8022125402390784</v>
      </c>
      <c r="AG66" s="39">
        <f t="shared" si="29"/>
        <v>-53.34190684857755</v>
      </c>
    </row>
    <row r="67" spans="3:33" ht="12.75">
      <c r="C67" s="10">
        <v>8</v>
      </c>
      <c r="D67" s="17">
        <f t="shared" si="0"/>
        <v>2022.7916666666665</v>
      </c>
      <c r="E67" s="17">
        <f t="shared" si="1"/>
        <v>114.2203469916667</v>
      </c>
      <c r="F67" s="17">
        <f t="shared" si="2"/>
        <v>191.19207350416673</v>
      </c>
      <c r="G67" s="17">
        <f t="shared" si="3"/>
        <v>113.85626438587943</v>
      </c>
      <c r="H67" s="17">
        <f t="shared" si="4"/>
        <v>115.73296442868048</v>
      </c>
      <c r="I67" s="17">
        <f t="shared" si="5"/>
        <v>21.33228345224811</v>
      </c>
      <c r="J67" s="17">
        <f t="shared" si="6"/>
        <v>281.5702627445571</v>
      </c>
      <c r="K67" s="17">
        <f t="shared" si="7"/>
        <v>0.4023365383993243</v>
      </c>
      <c r="L67" s="36">
        <f t="shared" si="8"/>
        <v>23.724328266786944</v>
      </c>
      <c r="M67" s="37">
        <f t="shared" si="9"/>
        <v>0.05538101756787588</v>
      </c>
      <c r="N67" s="13">
        <f t="shared" si="10"/>
        <v>223.64900840244073</v>
      </c>
      <c r="O67" s="38">
        <f t="shared" si="11"/>
        <v>-2.316674812455755</v>
      </c>
      <c r="P67" s="17">
        <f t="shared" si="12"/>
        <v>0.9614043141027254</v>
      </c>
      <c r="Q67" s="17">
        <f t="shared" si="13"/>
        <v>59.59872182341633</v>
      </c>
      <c r="R67" s="39">
        <f t="shared" si="14"/>
        <v>-0.7229903222962093</v>
      </c>
      <c r="S67" s="39">
        <f t="shared" si="15"/>
        <v>-0.6166963101986161</v>
      </c>
      <c r="T67" s="39">
        <f t="shared" si="16"/>
        <v>-0.3114402660925083</v>
      </c>
      <c r="U67" s="39">
        <f t="shared" si="17"/>
        <v>40.46351626695434</v>
      </c>
      <c r="V67" s="39">
        <f t="shared" si="18"/>
        <v>220.46351626695434</v>
      </c>
      <c r="W67" s="39">
        <f t="shared" si="19"/>
        <v>-18.146049063491862</v>
      </c>
      <c r="X67" s="39">
        <f t="shared" si="20"/>
        <v>-43.57295011954278</v>
      </c>
      <c r="Y67" s="39">
        <f t="shared" si="21"/>
        <v>-37.12274523899711</v>
      </c>
      <c r="Z67" s="39">
        <f t="shared" si="22"/>
        <v>-19.354795123749398</v>
      </c>
      <c r="AA67" s="39">
        <f t="shared" si="23"/>
        <v>60.42605638697564</v>
      </c>
      <c r="AB67" s="39">
        <f t="shared" si="24"/>
        <v>40.429924304442935</v>
      </c>
      <c r="AC67" s="39">
        <f t="shared" si="25"/>
        <v>220.42992430444292</v>
      </c>
      <c r="AD67" s="39">
        <f t="shared" si="26"/>
        <v>-18.681398147681467</v>
      </c>
      <c r="AE67" s="39">
        <f t="shared" si="27"/>
        <v>176.87330286880024</v>
      </c>
      <c r="AF67" s="39">
        <f t="shared" si="28"/>
        <v>-0.82994533727849</v>
      </c>
      <c r="AG67" s="39">
        <f t="shared" si="29"/>
        <v>-56.093123230001744</v>
      </c>
    </row>
    <row r="68" spans="3:33" ht="12.75">
      <c r="C68" s="10">
        <v>9</v>
      </c>
      <c r="D68" s="17">
        <f t="shared" si="0"/>
        <v>2022.8333333333333</v>
      </c>
      <c r="E68" s="17">
        <f t="shared" si="1"/>
        <v>114.26141563333294</v>
      </c>
      <c r="F68" s="17">
        <f t="shared" si="2"/>
        <v>191.2331401833335</v>
      </c>
      <c r="G68" s="17">
        <f t="shared" si="3"/>
        <v>113.89601315471671</v>
      </c>
      <c r="H68" s="17">
        <f t="shared" si="4"/>
        <v>115.77499901499057</v>
      </c>
      <c r="I68" s="17">
        <f t="shared" si="5"/>
        <v>21.32541346327794</v>
      </c>
      <c r="J68" s="17">
        <f t="shared" si="6"/>
        <v>296.5692967985524</v>
      </c>
      <c r="K68" s="17">
        <f t="shared" si="7"/>
        <v>0.5421576677222477</v>
      </c>
      <c r="L68" s="36">
        <f t="shared" si="8"/>
        <v>32.830641776654694</v>
      </c>
      <c r="M68" s="37">
        <f t="shared" si="9"/>
        <v>0.05538215833903719</v>
      </c>
      <c r="N68" s="13">
        <f t="shared" si="10"/>
        <v>224.20739685292725</v>
      </c>
      <c r="O68" s="38">
        <f t="shared" si="11"/>
        <v>-2.360312835380775</v>
      </c>
      <c r="P68" s="17">
        <f t="shared" si="12"/>
        <v>0.9620785575946619</v>
      </c>
      <c r="Q68" s="17">
        <f t="shared" si="13"/>
        <v>59.55695779361337</v>
      </c>
      <c r="R68" s="39">
        <f t="shared" si="14"/>
        <v>-0.716212444942115</v>
      </c>
      <c r="S68" s="39">
        <f t="shared" si="15"/>
        <v>-0.6228083132323069</v>
      </c>
      <c r="T68" s="39">
        <f t="shared" si="16"/>
        <v>-0.31491970649478557</v>
      </c>
      <c r="U68" s="39">
        <f t="shared" si="17"/>
        <v>41.00976485880708</v>
      </c>
      <c r="V68" s="39">
        <f t="shared" si="18"/>
        <v>221.00976485880707</v>
      </c>
      <c r="W68" s="39">
        <f t="shared" si="19"/>
        <v>-18.355966617903263</v>
      </c>
      <c r="X68" s="39">
        <f t="shared" si="20"/>
        <v>-43.02674683024297</v>
      </c>
      <c r="Y68" s="39">
        <f t="shared" si="21"/>
        <v>-37.574010177179446</v>
      </c>
      <c r="Z68" s="39">
        <f t="shared" si="22"/>
        <v>-19.549013008378292</v>
      </c>
      <c r="AA68" s="39">
        <f t="shared" si="23"/>
        <v>60.3760804722396</v>
      </c>
      <c r="AB68" s="39">
        <f t="shared" si="24"/>
        <v>41.1297697537933</v>
      </c>
      <c r="AC68" s="39">
        <f t="shared" si="25"/>
        <v>221.1297697537933</v>
      </c>
      <c r="AD68" s="39">
        <f t="shared" si="26"/>
        <v>-18.892125053027964</v>
      </c>
      <c r="AE68" s="39">
        <f t="shared" si="27"/>
        <v>191.21452605980448</v>
      </c>
      <c r="AF68" s="39">
        <f t="shared" si="28"/>
        <v>-0.8218475825516168</v>
      </c>
      <c r="AG68" s="39">
        <f t="shared" si="29"/>
        <v>-55.27017381229554</v>
      </c>
    </row>
    <row r="69" spans="3:33" ht="12.75">
      <c r="C69" s="10">
        <v>10</v>
      </c>
      <c r="D69" s="17">
        <f t="shared" si="0"/>
        <v>2022.875</v>
      </c>
      <c r="E69" s="17">
        <f t="shared" si="1"/>
        <v>114.3024842750001</v>
      </c>
      <c r="F69" s="17">
        <f t="shared" si="2"/>
        <v>191.27420686250025</v>
      </c>
      <c r="G69" s="17">
        <f t="shared" si="3"/>
        <v>113.93576209949372</v>
      </c>
      <c r="H69" s="17">
        <f t="shared" si="4"/>
        <v>115.81702986512184</v>
      </c>
      <c r="I69" s="17">
        <f t="shared" si="5"/>
        <v>21.318533000538665</v>
      </c>
      <c r="J69" s="17">
        <f t="shared" si="6"/>
        <v>311.568334588781</v>
      </c>
      <c r="K69" s="17">
        <f t="shared" si="7"/>
        <v>0.6647078416298825</v>
      </c>
      <c r="L69" s="36">
        <f t="shared" si="8"/>
        <v>41.65991570396852</v>
      </c>
      <c r="M69" s="37">
        <f t="shared" si="9"/>
        <v>0.05538329911019849</v>
      </c>
      <c r="N69" s="13">
        <f t="shared" si="10"/>
        <v>224.76664423191383</v>
      </c>
      <c r="O69" s="38">
        <f t="shared" si="11"/>
        <v>-2.403758391150587</v>
      </c>
      <c r="P69" s="17">
        <f t="shared" si="12"/>
        <v>0.9627535977868394</v>
      </c>
      <c r="Q69" s="17">
        <f t="shared" si="13"/>
        <v>59.515203018088314</v>
      </c>
      <c r="R69" s="39">
        <f t="shared" si="14"/>
        <v>-0.7093561061627186</v>
      </c>
      <c r="S69" s="39">
        <f t="shared" si="15"/>
        <v>-0.6288700266209613</v>
      </c>
      <c r="T69" s="39">
        <f t="shared" si="16"/>
        <v>-0.31837365859994915</v>
      </c>
      <c r="U69" s="39">
        <f t="shared" si="17"/>
        <v>41.55815694468095</v>
      </c>
      <c r="V69" s="39">
        <f t="shared" si="18"/>
        <v>221.55815694468095</v>
      </c>
      <c r="W69" s="39">
        <f t="shared" si="19"/>
        <v>-18.564599129093054</v>
      </c>
      <c r="X69" s="39">
        <f t="shared" si="20"/>
        <v>-42.45096418472649</v>
      </c>
      <c r="Y69" s="39">
        <f t="shared" si="21"/>
        <v>-37.988753740589374</v>
      </c>
      <c r="Z69" s="39">
        <f t="shared" si="22"/>
        <v>-19.741426267478747</v>
      </c>
      <c r="AA69" s="39">
        <f t="shared" si="23"/>
        <v>60.29057705852859</v>
      </c>
      <c r="AB69" s="39">
        <f t="shared" si="24"/>
        <v>41.824901074742634</v>
      </c>
      <c r="AC69" s="39">
        <f t="shared" si="25"/>
        <v>221.82490107474263</v>
      </c>
      <c r="AD69" s="39">
        <f t="shared" si="26"/>
        <v>-19.11334638308256</v>
      </c>
      <c r="AE69" s="39">
        <f t="shared" si="27"/>
        <v>205.56046337913722</v>
      </c>
      <c r="AF69" s="39">
        <f t="shared" si="28"/>
        <v>-0.7786813159456161</v>
      </c>
      <c r="AG69" s="39">
        <f t="shared" si="29"/>
        <v>-51.13999599936192</v>
      </c>
    </row>
    <row r="70" spans="3:33" ht="12.75">
      <c r="C70" s="10">
        <v>11</v>
      </c>
      <c r="D70" s="17">
        <f t="shared" si="0"/>
        <v>2022.9166666666665</v>
      </c>
      <c r="E70" s="17">
        <f t="shared" si="1"/>
        <v>114.34355291666634</v>
      </c>
      <c r="F70" s="17">
        <f t="shared" si="2"/>
        <v>191.31527354166656</v>
      </c>
      <c r="G70" s="17">
        <f t="shared" si="3"/>
        <v>113.97551122084576</v>
      </c>
      <c r="H70" s="17">
        <f t="shared" si="4"/>
        <v>115.85905697538475</v>
      </c>
      <c r="I70" s="17">
        <f t="shared" si="5"/>
        <v>21.31164206846189</v>
      </c>
      <c r="J70" s="17">
        <f t="shared" si="6"/>
        <v>326.5673761187354</v>
      </c>
      <c r="K70" s="17">
        <f t="shared" si="7"/>
        <v>0.7616284789289949</v>
      </c>
      <c r="L70" s="36">
        <f t="shared" si="8"/>
        <v>49.60797207827884</v>
      </c>
      <c r="M70" s="37">
        <f t="shared" si="9"/>
        <v>0.0553844398813598</v>
      </c>
      <c r="N70" s="13">
        <f t="shared" si="10"/>
        <v>225.32675243421684</v>
      </c>
      <c r="O70" s="38">
        <f t="shared" si="11"/>
        <v>-2.4470063419120565</v>
      </c>
      <c r="P70" s="17">
        <f t="shared" si="12"/>
        <v>0.9634293428229723</v>
      </c>
      <c r="Q70" s="17">
        <f t="shared" si="13"/>
        <v>59.47346325083083</v>
      </c>
      <c r="R70" s="39">
        <f t="shared" si="14"/>
        <v>-0.7024216451380373</v>
      </c>
      <c r="S70" s="39">
        <f t="shared" si="15"/>
        <v>-0.6348806211853517</v>
      </c>
      <c r="T70" s="39">
        <f t="shared" si="16"/>
        <v>-0.3218016651210412</v>
      </c>
      <c r="U70" s="39">
        <f t="shared" si="17"/>
        <v>42.108708803161946</v>
      </c>
      <c r="V70" s="39">
        <f t="shared" si="18"/>
        <v>222.10870880316196</v>
      </c>
      <c r="W70" s="39">
        <f t="shared" si="19"/>
        <v>-18.771917001268324</v>
      </c>
      <c r="X70" s="39">
        <f t="shared" si="20"/>
        <v>-41.8550790340858</v>
      </c>
      <c r="Y70" s="39">
        <f t="shared" si="21"/>
        <v>-38.36145508504589</v>
      </c>
      <c r="Z70" s="39">
        <f t="shared" si="22"/>
        <v>-19.93201284492365</v>
      </c>
      <c r="AA70" s="39">
        <f t="shared" si="23"/>
        <v>60.172535373222914</v>
      </c>
      <c r="AB70" s="39">
        <f t="shared" si="24"/>
        <v>42.506206271609614</v>
      </c>
      <c r="AC70" s="39">
        <f t="shared" si="25"/>
        <v>222.5062062716096</v>
      </c>
      <c r="AD70" s="39">
        <f t="shared" si="26"/>
        <v>-19.3445221909008</v>
      </c>
      <c r="AE70" s="39">
        <f t="shared" si="27"/>
        <v>219.9202268224908</v>
      </c>
      <c r="AF70" s="39">
        <f t="shared" si="28"/>
        <v>-0.7033207232238994</v>
      </c>
      <c r="AG70" s="39">
        <f t="shared" si="29"/>
        <v>-44.6940369963896</v>
      </c>
    </row>
    <row r="71" spans="3:33" ht="12.75">
      <c r="C71" s="40">
        <v>12</v>
      </c>
      <c r="D71" s="41">
        <f t="shared" si="0"/>
        <v>2022.9583333333333</v>
      </c>
      <c r="E71" s="41">
        <f t="shared" si="1"/>
        <v>114.38462155833349</v>
      </c>
      <c r="F71" s="41">
        <f t="shared" si="2"/>
        <v>191.35634022083332</v>
      </c>
      <c r="G71" s="41">
        <f t="shared" si="3"/>
        <v>114.01526051941174</v>
      </c>
      <c r="H71" s="41">
        <f t="shared" si="4"/>
        <v>115.90108034210306</v>
      </c>
      <c r="I71" s="41">
        <f t="shared" si="5"/>
        <v>21.30474067148367</v>
      </c>
      <c r="J71" s="41">
        <f t="shared" si="6"/>
        <v>341.5664213922573</v>
      </c>
      <c r="K71" s="41">
        <f t="shared" si="7"/>
        <v>0.8263066588597481</v>
      </c>
      <c r="L71" s="42">
        <f t="shared" si="8"/>
        <v>55.72119092137954</v>
      </c>
      <c r="M71" s="43">
        <f t="shared" si="9"/>
        <v>0.0553855806525211</v>
      </c>
      <c r="N71" s="44">
        <f t="shared" si="10"/>
        <v>225.88772321945868</v>
      </c>
      <c r="O71" s="45">
        <f t="shared" si="11"/>
        <v>-2.4900515496414717</v>
      </c>
      <c r="P71" s="41">
        <f t="shared" si="12"/>
        <v>0.9641057002267781</v>
      </c>
      <c r="Q71" s="41">
        <f t="shared" si="13"/>
        <v>59.43174425194648</v>
      </c>
      <c r="R71" s="46">
        <f t="shared" si="14"/>
        <v>-0.6954094138619692</v>
      </c>
      <c r="S71" s="46">
        <f t="shared" si="15"/>
        <v>-0.6408392659322639</v>
      </c>
      <c r="T71" s="46">
        <f t="shared" si="16"/>
        <v>-0.3252032680050577</v>
      </c>
      <c r="U71" s="46">
        <f t="shared" si="17"/>
        <v>42.66143624423533</v>
      </c>
      <c r="V71" s="46">
        <f t="shared" si="18"/>
        <v>222.66143624423535</v>
      </c>
      <c r="W71" s="46">
        <f t="shared" si="19"/>
        <v>-18.977890370506632</v>
      </c>
      <c r="X71" s="46">
        <f t="shared" si="20"/>
        <v>-41.24966780849392</v>
      </c>
      <c r="Y71" s="46">
        <f t="shared" si="21"/>
        <v>-38.68923189949136</v>
      </c>
      <c r="Z71" s="46">
        <f t="shared" si="22"/>
        <v>-20.120750794265042</v>
      </c>
      <c r="AA71" s="46">
        <f t="shared" si="23"/>
        <v>60.02696370639312</v>
      </c>
      <c r="AB71" s="46">
        <f t="shared" si="24"/>
        <v>43.16544842754602</v>
      </c>
      <c r="AC71" s="46">
        <f t="shared" si="25"/>
        <v>223.165448427546</v>
      </c>
      <c r="AD71" s="46">
        <f t="shared" si="26"/>
        <v>-19.584409087468</v>
      </c>
      <c r="AE71" s="46">
        <f t="shared" si="27"/>
        <v>234.30205330683384</v>
      </c>
      <c r="AF71" s="46">
        <f t="shared" si="28"/>
        <v>-0.6005979857031154</v>
      </c>
      <c r="AG71" s="46">
        <f t="shared" si="29"/>
        <v>-36.912737232635635</v>
      </c>
    </row>
    <row r="72" spans="3:33" ht="12.75">
      <c r="C72" s="10">
        <v>13</v>
      </c>
      <c r="D72" s="17">
        <f t="shared" si="0"/>
        <v>2023</v>
      </c>
      <c r="E72" s="17">
        <f t="shared" si="1"/>
        <v>114.42569019999974</v>
      </c>
      <c r="F72" s="17">
        <f t="shared" si="2"/>
        <v>191.39740690000008</v>
      </c>
      <c r="G72" s="17">
        <f t="shared" si="3"/>
        <v>114.05500999582684</v>
      </c>
      <c r="H72" s="17">
        <f t="shared" si="4"/>
        <v>115.9430999616062</v>
      </c>
      <c r="I72" s="17">
        <f t="shared" si="5"/>
        <v>21.297828814045797</v>
      </c>
      <c r="J72" s="17">
        <f t="shared" si="6"/>
        <v>356.56547041307203</v>
      </c>
      <c r="K72" s="17">
        <f t="shared" si="7"/>
        <v>0.8543259094106577</v>
      </c>
      <c r="L72" s="36">
        <f t="shared" si="8"/>
        <v>58.68534376389689</v>
      </c>
      <c r="M72" s="37">
        <f t="shared" si="9"/>
        <v>0.05538672142368241</v>
      </c>
      <c r="N72" s="13">
        <f t="shared" si="10"/>
        <v>226.4495582110282</v>
      </c>
      <c r="O72" s="38">
        <f t="shared" si="11"/>
        <v>-2.5328888770243885</v>
      </c>
      <c r="P72" s="17">
        <f t="shared" si="12"/>
        <v>0.9647825769208357</v>
      </c>
      <c r="Q72" s="17">
        <f t="shared" si="13"/>
        <v>59.39005178631824</v>
      </c>
      <c r="R72" s="39">
        <f t="shared" si="14"/>
        <v>-0.6883197772904458</v>
      </c>
      <c r="S72" s="39">
        <f t="shared" si="15"/>
        <v>-0.6467451282199818</v>
      </c>
      <c r="T72" s="39">
        <f t="shared" si="16"/>
        <v>-0.3285780085216803</v>
      </c>
      <c r="U72" s="39">
        <f t="shared" si="17"/>
        <v>43.21635459136448</v>
      </c>
      <c r="V72" s="39">
        <f t="shared" si="18"/>
        <v>223.21635459136448</v>
      </c>
      <c r="W72" s="39">
        <f t="shared" si="19"/>
        <v>-19.18248910877988</v>
      </c>
      <c r="X72" s="39">
        <f t="shared" si="20"/>
        <v>-40.64568417952575</v>
      </c>
      <c r="Y72" s="39">
        <f t="shared" si="21"/>
        <v>-38.972035234437406</v>
      </c>
      <c r="Z72" s="39">
        <f t="shared" si="22"/>
        <v>-20.307618282239144</v>
      </c>
      <c r="AA72" s="39">
        <f t="shared" si="23"/>
        <v>59.8605924881563</v>
      </c>
      <c r="AB72" s="39">
        <f t="shared" si="24"/>
        <v>43.79575927536421</v>
      </c>
      <c r="AC72" s="39">
        <f t="shared" si="25"/>
        <v>223.79575927536422</v>
      </c>
      <c r="AD72" s="39">
        <f t="shared" si="26"/>
        <v>-19.83109735988547</v>
      </c>
      <c r="AE72" s="39">
        <f t="shared" si="27"/>
        <v>248.71281109936535</v>
      </c>
      <c r="AF72" s="39">
        <f t="shared" si="28"/>
        <v>-0.47704407421965656</v>
      </c>
      <c r="AG72" s="39">
        <f t="shared" si="29"/>
        <v>-28.492523139114418</v>
      </c>
    </row>
    <row r="73" spans="3:33" ht="12.75">
      <c r="C73" s="10">
        <v>14</v>
      </c>
      <c r="D73" s="17">
        <f t="shared" si="0"/>
        <v>2023.0416666666665</v>
      </c>
      <c r="E73" s="17">
        <f t="shared" si="1"/>
        <v>114.46675884166643</v>
      </c>
      <c r="F73" s="17">
        <f t="shared" si="2"/>
        <v>191.43847357916638</v>
      </c>
      <c r="G73" s="17">
        <f t="shared" si="3"/>
        <v>114.09475965072939</v>
      </c>
      <c r="H73" s="17">
        <f t="shared" si="4"/>
        <v>115.98511583023642</v>
      </c>
      <c r="I73" s="17">
        <f t="shared" si="5"/>
        <v>21.290906500594534</v>
      </c>
      <c r="J73" s="17">
        <f t="shared" si="6"/>
        <v>11.564523184671998</v>
      </c>
      <c r="K73" s="17">
        <f t="shared" si="7"/>
        <v>0.8437673674849502</v>
      </c>
      <c r="L73" s="36">
        <f t="shared" si="8"/>
        <v>57.540109032117606</v>
      </c>
      <c r="M73" s="37">
        <f t="shared" si="9"/>
        <v>0.055387862194843714</v>
      </c>
      <c r="N73" s="13">
        <f t="shared" si="10"/>
        <v>227.01225889507347</v>
      </c>
      <c r="O73" s="38">
        <f t="shared" si="11"/>
        <v>-2.575513188342319</v>
      </c>
      <c r="P73" s="17">
        <f t="shared" si="12"/>
        <v>0.9654598792457059</v>
      </c>
      <c r="Q73" s="17">
        <f t="shared" si="13"/>
        <v>59.34839162227367</v>
      </c>
      <c r="R73" s="39">
        <f t="shared" si="14"/>
        <v>-0.6811531134868258</v>
      </c>
      <c r="S73" s="39">
        <f t="shared" si="15"/>
        <v>-0.652597373928222</v>
      </c>
      <c r="T73" s="39">
        <f t="shared" si="16"/>
        <v>-0.3319254273540461</v>
      </c>
      <c r="U73" s="39">
        <f t="shared" si="17"/>
        <v>43.773478663277075</v>
      </c>
      <c r="V73" s="39">
        <f t="shared" si="18"/>
        <v>223.77347866327707</v>
      </c>
      <c r="W73" s="39">
        <f t="shared" si="19"/>
        <v>-19.385682828313847</v>
      </c>
      <c r="X73" s="39">
        <f t="shared" si="20"/>
        <v>-40.053710911103586</v>
      </c>
      <c r="Y73" s="39">
        <f t="shared" si="21"/>
        <v>-39.21265020093894</v>
      </c>
      <c r="Z73" s="39">
        <f t="shared" si="22"/>
        <v>-20.49259359228972</v>
      </c>
      <c r="AA73" s="39">
        <f t="shared" si="23"/>
        <v>59.68147187922068</v>
      </c>
      <c r="AB73" s="39">
        <f t="shared" si="24"/>
        <v>44.392082341024334</v>
      </c>
      <c r="AC73" s="39">
        <f t="shared" si="25"/>
        <v>224.39208234102432</v>
      </c>
      <c r="AD73" s="39">
        <f t="shared" si="26"/>
        <v>-20.08208764260459</v>
      </c>
      <c r="AE73" s="39">
        <f t="shared" si="27"/>
        <v>263.1575566738611</v>
      </c>
      <c r="AF73" s="39">
        <f t="shared" si="28"/>
        <v>-0.3405286116409153</v>
      </c>
      <c r="AG73" s="39">
        <f t="shared" si="29"/>
        <v>-19.909083211374295</v>
      </c>
    </row>
    <row r="74" spans="3:33" ht="12.75">
      <c r="C74" s="10">
        <v>15</v>
      </c>
      <c r="D74" s="17">
        <f t="shared" si="0"/>
        <v>2023.0833333333333</v>
      </c>
      <c r="E74" s="17">
        <f t="shared" si="1"/>
        <v>114.50782748333313</v>
      </c>
      <c r="F74" s="17">
        <f t="shared" si="2"/>
        <v>191.47954025833315</v>
      </c>
      <c r="G74" s="17">
        <f t="shared" si="3"/>
        <v>114.1345094847558</v>
      </c>
      <c r="H74" s="17">
        <f t="shared" si="4"/>
        <v>116.02712794434359</v>
      </c>
      <c r="I74" s="17">
        <f t="shared" si="5"/>
        <v>21.283973735581547</v>
      </c>
      <c r="J74" s="17">
        <f t="shared" si="6"/>
        <v>26.563579710782506</v>
      </c>
      <c r="K74" s="17">
        <f t="shared" si="7"/>
        <v>0.7953407746538719</v>
      </c>
      <c r="L74" s="36">
        <f t="shared" si="8"/>
        <v>52.687454524333866</v>
      </c>
      <c r="M74" s="37">
        <f t="shared" si="9"/>
        <v>0.05538900296600502</v>
      </c>
      <c r="N74" s="13">
        <f t="shared" si="10"/>
        <v>227.57582661952657</v>
      </c>
      <c r="O74" s="38">
        <f t="shared" si="11"/>
        <v>-2.6179193503678735</v>
      </c>
      <c r="P74" s="17">
        <f t="shared" si="12"/>
        <v>0.9661375129792745</v>
      </c>
      <c r="Q74" s="17">
        <f t="shared" si="13"/>
        <v>59.30676953026022</v>
      </c>
      <c r="R74" s="39">
        <f t="shared" si="14"/>
        <v>-0.6739098137643961</v>
      </c>
      <c r="S74" s="39">
        <f t="shared" si="15"/>
        <v>-0.6583951676324749</v>
      </c>
      <c r="T74" s="39">
        <f t="shared" si="16"/>
        <v>-0.33524506469156534</v>
      </c>
      <c r="U74" s="39">
        <f t="shared" si="17"/>
        <v>44.33282275546882</v>
      </c>
      <c r="V74" s="39">
        <f t="shared" si="18"/>
        <v>224.3328227554688</v>
      </c>
      <c r="W74" s="39">
        <f t="shared" si="19"/>
        <v>-19.587440886292846</v>
      </c>
      <c r="X74" s="39">
        <f t="shared" si="20"/>
        <v>-39.48323716219044</v>
      </c>
      <c r="Y74" s="39">
        <f t="shared" si="21"/>
        <v>-39.416502492636724</v>
      </c>
      <c r="Z74" s="39">
        <f t="shared" si="22"/>
        <v>-20.67565512811108</v>
      </c>
      <c r="AA74" s="39">
        <f t="shared" si="23"/>
        <v>59.498482338076485</v>
      </c>
      <c r="AB74" s="39">
        <f t="shared" si="24"/>
        <v>44.95153831916879</v>
      </c>
      <c r="AC74" s="39">
        <f t="shared" si="25"/>
        <v>224.95153831916878</v>
      </c>
      <c r="AD74" s="39">
        <f t="shared" si="26"/>
        <v>-20.334410667084754</v>
      </c>
      <c r="AE74" s="39">
        <f t="shared" si="27"/>
        <v>277.6391693360638</v>
      </c>
      <c r="AF74" s="39">
        <f t="shared" si="28"/>
        <v>-0.19980752016359146</v>
      </c>
      <c r="AG74" s="39">
        <f t="shared" si="29"/>
        <v>-11.525703564954282</v>
      </c>
    </row>
    <row r="75" spans="3:33" ht="12">
      <c r="C75" s="10">
        <v>16</v>
      </c>
      <c r="D75" s="17">
        <f t="shared" si="0"/>
        <v>2023.125</v>
      </c>
      <c r="E75" s="17">
        <f t="shared" si="1"/>
        <v>114.54889612499983</v>
      </c>
      <c r="F75" s="17">
        <f t="shared" si="2"/>
        <v>191.5206069374999</v>
      </c>
      <c r="G75" s="17">
        <f t="shared" si="3"/>
        <v>114.17425949854287</v>
      </c>
      <c r="H75" s="17">
        <f t="shared" si="4"/>
        <v>116.06913630028745</v>
      </c>
      <c r="I75" s="17">
        <f t="shared" si="5"/>
        <v>21.277030523463477</v>
      </c>
      <c r="J75" s="17">
        <f t="shared" si="6"/>
        <v>41.56263999524526</v>
      </c>
      <c r="K75" s="17">
        <f t="shared" si="7"/>
        <v>0.7123363656413729</v>
      </c>
      <c r="L75" s="36">
        <f t="shared" si="8"/>
        <v>45.42532780108036</v>
      </c>
      <c r="M75" s="37">
        <f t="shared" si="9"/>
        <v>0.055390143737166324</v>
      </c>
      <c r="N75" s="13">
        <f t="shared" si="10"/>
        <v>228.14026259315835</v>
      </c>
      <c r="O75" s="38">
        <f t="shared" si="11"/>
        <v>-2.66010223326367</v>
      </c>
      <c r="P75" s="17">
        <f t="shared" si="12"/>
        <v>0.9668153833563182</v>
      </c>
      <c r="Q75" s="17">
        <f t="shared" si="13"/>
        <v>59.26519128152921</v>
      </c>
      <c r="R75" s="39">
        <f t="shared" si="14"/>
        <v>-0.6665902828258812</v>
      </c>
      <c r="S75" s="39">
        <f t="shared" si="15"/>
        <v>-0.6641376727827198</v>
      </c>
      <c r="T75" s="39">
        <f t="shared" si="16"/>
        <v>-0.33853646032468515</v>
      </c>
      <c r="U75" s="39">
        <f t="shared" si="17"/>
        <v>44.89440062143534</v>
      </c>
      <c r="V75" s="39">
        <f t="shared" si="18"/>
        <v>224.89440062143535</v>
      </c>
      <c r="W75" s="39">
        <f t="shared" si="19"/>
        <v>-19.787732389912858</v>
      </c>
      <c r="X75" s="39">
        <f t="shared" si="20"/>
        <v>-38.942010760394396</v>
      </c>
      <c r="Y75" s="39">
        <f t="shared" si="21"/>
        <v>-39.591283988415725</v>
      </c>
      <c r="Z75" s="39">
        <f t="shared" si="22"/>
        <v>-20.85678141720553</v>
      </c>
      <c r="AA75" s="39">
        <f t="shared" si="23"/>
        <v>59.320783044386275</v>
      </c>
      <c r="AB75" s="39">
        <f t="shared" si="24"/>
        <v>45.47368149138434</v>
      </c>
      <c r="AC75" s="39">
        <f t="shared" si="25"/>
        <v>225.47368149138435</v>
      </c>
      <c r="AD75" s="39">
        <f t="shared" si="26"/>
        <v>-20.584790744341344</v>
      </c>
      <c r="AE75" s="39">
        <f t="shared" si="27"/>
        <v>292.1580948041519</v>
      </c>
      <c r="AF75" s="39">
        <f t="shared" si="28"/>
        <v>-0.06399446343419937</v>
      </c>
      <c r="AG75" s="39">
        <f t="shared" si="29"/>
        <v>-3.669119931518172</v>
      </c>
    </row>
    <row r="76" spans="3:33" ht="12">
      <c r="C76" s="10">
        <v>17</v>
      </c>
      <c r="D76" s="17">
        <f t="shared" si="0"/>
        <v>2023.1666666666665</v>
      </c>
      <c r="E76" s="17">
        <f t="shared" si="1"/>
        <v>114.58996476666653</v>
      </c>
      <c r="F76" s="17">
        <f t="shared" si="2"/>
        <v>191.56167361666667</v>
      </c>
      <c r="G76" s="17">
        <f t="shared" si="3"/>
        <v>114.21400969272737</v>
      </c>
      <c r="H76" s="17">
        <f t="shared" si="4"/>
        <v>116.11114089443741</v>
      </c>
      <c r="I76" s="17">
        <f t="shared" si="5"/>
        <v>21.270076868701995</v>
      </c>
      <c r="J76" s="17">
        <f t="shared" si="6"/>
        <v>56.561704041203484</v>
      </c>
      <c r="K76" s="17">
        <f t="shared" si="7"/>
        <v>0.6004009106244881</v>
      </c>
      <c r="L76" s="36">
        <f t="shared" si="8"/>
        <v>36.898616153471494</v>
      </c>
      <c r="M76" s="37">
        <f t="shared" si="9"/>
        <v>0.05539128450832762</v>
      </c>
      <c r="N76" s="13">
        <f t="shared" si="10"/>
        <v>228.70556788468363</v>
      </c>
      <c r="O76" s="38">
        <f t="shared" si="11"/>
        <v>-2.7020567114870615</v>
      </c>
      <c r="P76" s="17">
        <f t="shared" si="12"/>
        <v>0.9674933950882895</v>
      </c>
      <c r="Q76" s="17">
        <f t="shared" si="13"/>
        <v>59.22366264682815</v>
      </c>
      <c r="R76" s="39">
        <f t="shared" si="14"/>
        <v>-0.6591949388995642</v>
      </c>
      <c r="S76" s="39">
        <f t="shared" si="15"/>
        <v>-0.6698240518866827</v>
      </c>
      <c r="T76" s="39">
        <f t="shared" si="16"/>
        <v>-0.34179915374170916</v>
      </c>
      <c r="U76" s="39">
        <f t="shared" si="17"/>
        <v>45.45822545366547</v>
      </c>
      <c r="V76" s="39">
        <f t="shared" si="18"/>
        <v>225.45822545366548</v>
      </c>
      <c r="W76" s="39">
        <f t="shared" si="19"/>
        <v>-19.986526201798547</v>
      </c>
      <c r="X76" s="39">
        <f t="shared" si="20"/>
        <v>-38.4355098285965</v>
      </c>
      <c r="Y76" s="39">
        <f t="shared" si="21"/>
        <v>-39.74642308979263</v>
      </c>
      <c r="Z76" s="39">
        <f t="shared" si="22"/>
        <v>-21.03595111446157</v>
      </c>
      <c r="AA76" s="39">
        <f t="shared" si="23"/>
        <v>59.15722951175922</v>
      </c>
      <c r="AB76" s="39">
        <f t="shared" si="24"/>
        <v>45.96061527985397</v>
      </c>
      <c r="AC76" s="39">
        <f t="shared" si="25"/>
        <v>225.96061527985398</v>
      </c>
      <c r="AD76" s="39">
        <f t="shared" si="26"/>
        <v>-20.82984872422631</v>
      </c>
      <c r="AE76" s="39">
        <f t="shared" si="27"/>
        <v>306.71222965582274</v>
      </c>
      <c r="AF76" s="39">
        <f t="shared" si="28"/>
        <v>0.058018384692863134</v>
      </c>
      <c r="AG76" s="39">
        <f t="shared" si="29"/>
        <v>3.326076362376651</v>
      </c>
    </row>
    <row r="77" spans="3:33" ht="12">
      <c r="C77" s="10">
        <v>18</v>
      </c>
      <c r="D77" s="17">
        <f t="shared" si="0"/>
        <v>2023.2083333333333</v>
      </c>
      <c r="E77" s="17">
        <f t="shared" si="1"/>
        <v>114.63103340833322</v>
      </c>
      <c r="F77" s="17">
        <f t="shared" si="2"/>
        <v>191.60274029583343</v>
      </c>
      <c r="G77" s="17">
        <f t="shared" si="3"/>
        <v>114.25376006794596</v>
      </c>
      <c r="H77" s="17">
        <f t="shared" si="4"/>
        <v>116.15314172317224</v>
      </c>
      <c r="I77" s="17">
        <f t="shared" si="5"/>
        <v>21.263112775763826</v>
      </c>
      <c r="J77" s="17">
        <f t="shared" si="6"/>
        <v>71.56077185284812</v>
      </c>
      <c r="K77" s="17">
        <f t="shared" si="7"/>
        <v>0.46715315530246004</v>
      </c>
      <c r="L77" s="36">
        <f t="shared" si="8"/>
        <v>27.84965980052381</v>
      </c>
      <c r="M77" s="37">
        <f t="shared" si="9"/>
        <v>0.055392425279488934</v>
      </c>
      <c r="N77" s="13">
        <f t="shared" si="10"/>
        <v>229.27174342186444</v>
      </c>
      <c r="O77" s="38">
        <f t="shared" si="11"/>
        <v>-2.7437776647040937</v>
      </c>
      <c r="P77" s="17">
        <f t="shared" si="12"/>
        <v>0.9681714523833229</v>
      </c>
      <c r="Q77" s="17">
        <f t="shared" si="13"/>
        <v>59.182189395102206</v>
      </c>
      <c r="R77" s="39">
        <f t="shared" si="14"/>
        <v>-0.6517242138725494</v>
      </c>
      <c r="S77" s="39">
        <f t="shared" si="15"/>
        <v>-0.6754534666970032</v>
      </c>
      <c r="T77" s="39">
        <f t="shared" si="16"/>
        <v>-0.3450326842274639</v>
      </c>
      <c r="U77" s="39">
        <f t="shared" si="17"/>
        <v>46.02430986435639</v>
      </c>
      <c r="V77" s="39">
        <f t="shared" si="18"/>
        <v>226.02430986435638</v>
      </c>
      <c r="W77" s="39">
        <f t="shared" si="19"/>
        <v>-20.18379094578082</v>
      </c>
      <c r="X77" s="39">
        <f t="shared" si="20"/>
        <v>-37.96656996874231</v>
      </c>
      <c r="Y77" s="39">
        <f t="shared" si="21"/>
        <v>-39.89243608587657</v>
      </c>
      <c r="Z77" s="39">
        <f t="shared" si="22"/>
        <v>-21.213143005741504</v>
      </c>
      <c r="AA77" s="39">
        <f t="shared" si="23"/>
        <v>59.01579727699349</v>
      </c>
      <c r="AB77" s="39">
        <f t="shared" si="24"/>
        <v>46.416939544334944</v>
      </c>
      <c r="AC77" s="39">
        <f t="shared" si="25"/>
        <v>226.41693954433495</v>
      </c>
      <c r="AD77" s="39">
        <f t="shared" si="26"/>
        <v>-21.066333717522877</v>
      </c>
      <c r="AE77" s="39">
        <f t="shared" si="27"/>
        <v>321.2969740316039</v>
      </c>
      <c r="AF77" s="39">
        <f t="shared" si="28"/>
        <v>0.15815437747042121</v>
      </c>
      <c r="AG77" s="39">
        <f t="shared" si="29"/>
        <v>9.099785896258112</v>
      </c>
    </row>
    <row r="78" spans="3:33" ht="12">
      <c r="C78" s="10">
        <v>19</v>
      </c>
      <c r="D78" s="17">
        <f t="shared" si="0"/>
        <v>2023.25</v>
      </c>
      <c r="E78" s="17">
        <f t="shared" si="1"/>
        <v>114.67210204999992</v>
      </c>
      <c r="F78" s="17">
        <f t="shared" si="2"/>
        <v>191.6438069750002</v>
      </c>
      <c r="G78" s="17">
        <f t="shared" si="3"/>
        <v>114.29351062483526</v>
      </c>
      <c r="H78" s="17">
        <f t="shared" si="4"/>
        <v>116.1951387828803</v>
      </c>
      <c r="I78" s="17">
        <f t="shared" si="5"/>
        <v>21.256138249120717</v>
      </c>
      <c r="J78" s="17">
        <f t="shared" si="6"/>
        <v>86.5598434334388</v>
      </c>
      <c r="K78" s="17">
        <f t="shared" si="7"/>
        <v>0.32166484807561824</v>
      </c>
      <c r="L78" s="36">
        <f t="shared" si="8"/>
        <v>18.763637757497012</v>
      </c>
      <c r="M78" s="37">
        <f t="shared" si="9"/>
        <v>0.05539356605065024</v>
      </c>
      <c r="N78" s="13">
        <f t="shared" si="10"/>
        <v>229.8387899906821</v>
      </c>
      <c r="O78" s="38">
        <f t="shared" si="11"/>
        <v>-2.7852599787028063</v>
      </c>
      <c r="P78" s="17">
        <f t="shared" si="12"/>
        <v>0.9688494589664222</v>
      </c>
      <c r="Q78" s="17">
        <f t="shared" si="13"/>
        <v>59.140777292206735</v>
      </c>
      <c r="R78" s="39">
        <f t="shared" si="14"/>
        <v>-0.6441785534201421</v>
      </c>
      <c r="S78" s="39">
        <f t="shared" si="15"/>
        <v>-0.6810250784030976</v>
      </c>
      <c r="T78" s="39">
        <f t="shared" si="16"/>
        <v>-0.34823659096396525</v>
      </c>
      <c r="U78" s="39">
        <f t="shared" si="17"/>
        <v>46.592665865940326</v>
      </c>
      <c r="V78" s="39">
        <f t="shared" si="18"/>
        <v>226.59266586594032</v>
      </c>
      <c r="W78" s="39">
        <f t="shared" si="19"/>
        <v>-20.37949501305307</v>
      </c>
      <c r="X78" s="39">
        <f t="shared" si="20"/>
        <v>-37.535192548063975</v>
      </c>
      <c r="Y78" s="39">
        <f t="shared" si="21"/>
        <v>-40.04020399082354</v>
      </c>
      <c r="Z78" s="39">
        <f t="shared" si="22"/>
        <v>-21.3883360114884</v>
      </c>
      <c r="AA78" s="39">
        <f t="shared" si="23"/>
        <v>58.90305198024403</v>
      </c>
      <c r="AB78" s="39">
        <f t="shared" si="24"/>
        <v>46.849513305135936</v>
      </c>
      <c r="AC78" s="39">
        <f t="shared" si="25"/>
        <v>226.84951330513593</v>
      </c>
      <c r="AD78" s="39">
        <f t="shared" si="26"/>
        <v>-21.29136602517402</v>
      </c>
      <c r="AE78" s="39">
        <f t="shared" si="27"/>
        <v>335.90546891116537</v>
      </c>
      <c r="AF78" s="39">
        <f t="shared" si="28"/>
        <v>0.2297165021954239</v>
      </c>
      <c r="AG78" s="39">
        <f t="shared" si="29"/>
        <v>13.280381626747207</v>
      </c>
    </row>
    <row r="79" spans="3:33" ht="12">
      <c r="C79" s="10">
        <v>20</v>
      </c>
      <c r="D79" s="17">
        <f t="shared" si="0"/>
        <v>2023.2916666666665</v>
      </c>
      <c r="E79" s="17">
        <f t="shared" si="1"/>
        <v>114.71317069166616</v>
      </c>
      <c r="F79" s="17">
        <f t="shared" si="2"/>
        <v>191.6848736541665</v>
      </c>
      <c r="G79" s="17">
        <f t="shared" si="3"/>
        <v>114.33326136403137</v>
      </c>
      <c r="H79" s="17">
        <f t="shared" si="4"/>
        <v>116.23713206995903</v>
      </c>
      <c r="I79" s="17">
        <f t="shared" si="5"/>
        <v>21.24915329324951</v>
      </c>
      <c r="J79" s="17">
        <f t="shared" si="6"/>
        <v>101.55891878646798</v>
      </c>
      <c r="K79" s="17">
        <f t="shared" si="7"/>
        <v>0.17384270537796404</v>
      </c>
      <c r="L79" s="36">
        <f t="shared" si="8"/>
        <v>10.011317753119375</v>
      </c>
      <c r="M79" s="37">
        <f t="shared" si="9"/>
        <v>0.05539470682181154</v>
      </c>
      <c r="N79" s="13">
        <f t="shared" si="10"/>
        <v>230.4067082345236</v>
      </c>
      <c r="O79" s="38">
        <f t="shared" si="11"/>
        <v>-2.8264985463166394</v>
      </c>
      <c r="P79" s="17">
        <f t="shared" si="12"/>
        <v>0.9695273180998891</v>
      </c>
      <c r="Q79" s="17">
        <f t="shared" si="13"/>
        <v>59.09943209962766</v>
      </c>
      <c r="R79" s="39">
        <f t="shared" si="14"/>
        <v>-0.6365584171318982</v>
      </c>
      <c r="S79" s="39">
        <f t="shared" si="15"/>
        <v>-0.6865380478270002</v>
      </c>
      <c r="T79" s="39">
        <f t="shared" si="16"/>
        <v>-0.35141041313297583</v>
      </c>
      <c r="U79" s="39">
        <f t="shared" si="17"/>
        <v>47.16330485138155</v>
      </c>
      <c r="V79" s="39">
        <f t="shared" si="18"/>
        <v>227.16330485138155</v>
      </c>
      <c r="W79" s="39">
        <f t="shared" si="19"/>
        <v>-20.573606568708446</v>
      </c>
      <c r="X79" s="39">
        <f t="shared" si="20"/>
        <v>-37.13854722396162</v>
      </c>
      <c r="Y79" s="39">
        <f t="shared" si="21"/>
        <v>-40.200224405199734</v>
      </c>
      <c r="Z79" s="39">
        <f t="shared" si="22"/>
        <v>-21.561509190345646</v>
      </c>
      <c r="AA79" s="39">
        <f t="shared" si="23"/>
        <v>58.82370619656843</v>
      </c>
      <c r="AB79" s="39">
        <f t="shared" si="24"/>
        <v>47.267034025861356</v>
      </c>
      <c r="AC79" s="39">
        <f t="shared" si="25"/>
        <v>227.26703402586136</v>
      </c>
      <c r="AD79" s="39">
        <f t="shared" si="26"/>
        <v>-21.50266818878381</v>
      </c>
      <c r="AE79" s="39">
        <f t="shared" si="27"/>
        <v>350.5290168306092</v>
      </c>
      <c r="AF79" s="39">
        <f t="shared" si="28"/>
        <v>0.26787213723823067</v>
      </c>
      <c r="AG79" s="39">
        <f t="shared" si="29"/>
        <v>15.53768576871379</v>
      </c>
    </row>
    <row r="80" spans="3:33" ht="12">
      <c r="C80" s="10">
        <v>21</v>
      </c>
      <c r="D80" s="17">
        <f t="shared" si="0"/>
        <v>2023.3333333333333</v>
      </c>
      <c r="E80" s="17">
        <f t="shared" si="1"/>
        <v>114.75423933333332</v>
      </c>
      <c r="F80" s="17">
        <f t="shared" si="2"/>
        <v>191.72594033333326</v>
      </c>
      <c r="G80" s="17">
        <f t="shared" si="3"/>
        <v>114.37301228617207</v>
      </c>
      <c r="H80" s="17">
        <f t="shared" si="4"/>
        <v>116.27912158081718</v>
      </c>
      <c r="I80" s="17">
        <f t="shared" si="5"/>
        <v>21.242157912631754</v>
      </c>
      <c r="J80" s="17">
        <f t="shared" si="6"/>
        <v>116.55799791601021</v>
      </c>
      <c r="K80" s="17">
        <f t="shared" si="7"/>
        <v>0.033753420066336526</v>
      </c>
      <c r="L80" s="36">
        <f t="shared" si="8"/>
        <v>1.9342959209818675</v>
      </c>
      <c r="M80" s="37">
        <f t="shared" si="9"/>
        <v>0.05539584759297285</v>
      </c>
      <c r="N80" s="13">
        <f t="shared" si="10"/>
        <v>230.9754986534268</v>
      </c>
      <c r="O80" s="38">
        <f t="shared" si="11"/>
        <v>-2.867488268352466</v>
      </c>
      <c r="P80" s="17">
        <f t="shared" si="12"/>
        <v>0.9702049326039356</v>
      </c>
      <c r="Q80" s="17">
        <f t="shared" si="13"/>
        <v>59.05815957321314</v>
      </c>
      <c r="R80" s="39">
        <f t="shared" si="14"/>
        <v>-0.6288642786336334</v>
      </c>
      <c r="S80" s="39">
        <f t="shared" si="15"/>
        <v>-0.6919915356236372</v>
      </c>
      <c r="T80" s="39">
        <f t="shared" si="16"/>
        <v>-0.3545536900205482</v>
      </c>
      <c r="U80" s="39">
        <f t="shared" si="17"/>
        <v>47.73623757430899</v>
      </c>
      <c r="V80" s="39">
        <f t="shared" si="18"/>
        <v>227.73623757430897</v>
      </c>
      <c r="W80" s="39">
        <f t="shared" si="19"/>
        <v>-20.766093558672694</v>
      </c>
      <c r="X80" s="39">
        <f t="shared" si="20"/>
        <v>-36.7711685345014</v>
      </c>
      <c r="Y80" s="39">
        <f t="shared" si="21"/>
        <v>-40.38188966413731</v>
      </c>
      <c r="Z80" s="39">
        <f t="shared" si="22"/>
        <v>-21.732641742796318</v>
      </c>
      <c r="AA80" s="39">
        <f t="shared" si="23"/>
        <v>58.78029912615279</v>
      </c>
      <c r="AB80" s="39">
        <f t="shared" si="24"/>
        <v>47.67945626464556</v>
      </c>
      <c r="AC80" s="39">
        <f t="shared" si="25"/>
        <v>227.67945626464555</v>
      </c>
      <c r="AD80" s="39">
        <f t="shared" si="26"/>
        <v>-21.698758667723396</v>
      </c>
      <c r="AE80" s="39">
        <f t="shared" si="27"/>
        <v>5.157663232181221</v>
      </c>
      <c r="AF80" s="39">
        <f t="shared" si="28"/>
        <v>0.27001093297414386</v>
      </c>
      <c r="AG80" s="39">
        <f t="shared" si="29"/>
        <v>15.66491742784741</v>
      </c>
    </row>
    <row r="81" spans="3:33" ht="12">
      <c r="C81" s="10">
        <v>22</v>
      </c>
      <c r="D81" s="17">
        <f t="shared" si="0"/>
        <v>2023.375</v>
      </c>
      <c r="E81" s="17">
        <f t="shared" si="1"/>
        <v>114.79530797500001</v>
      </c>
      <c r="F81" s="17">
        <f t="shared" si="2"/>
        <v>191.76700701250002</v>
      </c>
      <c r="G81" s="17">
        <f t="shared" si="3"/>
        <v>114.41276339189245</v>
      </c>
      <c r="H81" s="17">
        <f t="shared" si="4"/>
        <v>116.32110731187034</v>
      </c>
      <c r="I81" s="17">
        <f t="shared" si="5"/>
        <v>21.23515211175447</v>
      </c>
      <c r="J81" s="17">
        <f t="shared" si="6"/>
        <v>131.5570808252087</v>
      </c>
      <c r="K81" s="17">
        <f t="shared" si="7"/>
        <v>-0.08906229692328077</v>
      </c>
      <c r="L81" s="36">
        <f t="shared" si="8"/>
        <v>-5.109664025956962</v>
      </c>
      <c r="M81" s="37">
        <f t="shared" si="9"/>
        <v>0.055396988364134155</v>
      </c>
      <c r="N81" s="13">
        <f t="shared" si="10"/>
        <v>231.5451616033049</v>
      </c>
      <c r="O81" s="38">
        <f t="shared" si="11"/>
        <v>-2.908224054518875</v>
      </c>
      <c r="P81" s="17">
        <f t="shared" si="12"/>
        <v>0.9708822048774407</v>
      </c>
      <c r="Q81" s="17">
        <f t="shared" si="13"/>
        <v>59.01696546191892</v>
      </c>
      <c r="R81" s="39">
        <f t="shared" si="14"/>
        <v>-0.6210966257063285</v>
      </c>
      <c r="S81" s="39">
        <f t="shared" si="15"/>
        <v>-0.6973847024846935</v>
      </c>
      <c r="T81" s="39">
        <f t="shared" si="16"/>
        <v>-0.35766596112310556</v>
      </c>
      <c r="U81" s="39">
        <f t="shared" si="17"/>
        <v>48.311474128923614</v>
      </c>
      <c r="V81" s="39">
        <f t="shared" si="18"/>
        <v>228.3114741289236</v>
      </c>
      <c r="W81" s="39">
        <f t="shared" si="19"/>
        <v>-20.956923717013794</v>
      </c>
      <c r="X81" s="39">
        <f t="shared" si="20"/>
        <v>-36.42533308420002</v>
      </c>
      <c r="Y81" s="39">
        <f t="shared" si="21"/>
        <v>-40.59284073392606</v>
      </c>
      <c r="Z81" s="39">
        <f t="shared" si="22"/>
        <v>-21.901713014797597</v>
      </c>
      <c r="AA81" s="39">
        <f t="shared" si="23"/>
        <v>58.773026484326614</v>
      </c>
      <c r="AB81" s="39">
        <f t="shared" si="24"/>
        <v>48.09729442811979</v>
      </c>
      <c r="AC81" s="39">
        <f t="shared" si="25"/>
        <v>228.0972944281198</v>
      </c>
      <c r="AD81" s="39">
        <f t="shared" si="26"/>
        <v>-21.879084663936975</v>
      </c>
      <c r="AE81" s="39">
        <f t="shared" si="27"/>
        <v>19.780893708928488</v>
      </c>
      <c r="AF81" s="39">
        <f t="shared" si="28"/>
        <v>0.2359379111894287</v>
      </c>
      <c r="AG81" s="39">
        <f t="shared" si="29"/>
        <v>13.646915867455276</v>
      </c>
    </row>
    <row r="82" spans="3:33" ht="12">
      <c r="C82" s="10">
        <v>23</v>
      </c>
      <c r="D82" s="17">
        <f t="shared" si="0"/>
        <v>2023.4166666666665</v>
      </c>
      <c r="E82" s="17">
        <f t="shared" si="1"/>
        <v>114.83637661666671</v>
      </c>
      <c r="F82" s="17">
        <f t="shared" si="2"/>
        <v>191.80807369166632</v>
      </c>
      <c r="G82" s="17">
        <f t="shared" si="3"/>
        <v>114.45251468182927</v>
      </c>
      <c r="H82" s="17">
        <f t="shared" si="4"/>
        <v>116.36308925954543</v>
      </c>
      <c r="I82" s="17">
        <f t="shared" si="5"/>
        <v>21.228135895109368</v>
      </c>
      <c r="J82" s="17">
        <f t="shared" si="6"/>
        <v>146.5561675176723</v>
      </c>
      <c r="K82" s="17">
        <f t="shared" si="7"/>
        <v>-0.18623989969098176</v>
      </c>
      <c r="L82" s="36">
        <f t="shared" si="8"/>
        <v>-10.733429835081722</v>
      </c>
      <c r="M82" s="37">
        <f t="shared" si="9"/>
        <v>0.05539812913529545</v>
      </c>
      <c r="N82" s="13">
        <f t="shared" si="10"/>
        <v>232.11569729527722</v>
      </c>
      <c r="O82" s="38">
        <f t="shared" si="11"/>
        <v>-2.948700824363448</v>
      </c>
      <c r="P82" s="17">
        <f t="shared" si="12"/>
        <v>0.9715590369189658</v>
      </c>
      <c r="Q82" s="17">
        <f t="shared" si="13"/>
        <v>58.975855506560634</v>
      </c>
      <c r="R82" s="39">
        <f t="shared" si="14"/>
        <v>-0.6132559604000902</v>
      </c>
      <c r="S82" s="39">
        <f t="shared" si="15"/>
        <v>-0.7027167093472418</v>
      </c>
      <c r="T82" s="39">
        <f t="shared" si="16"/>
        <v>-0.36074676625573127</v>
      </c>
      <c r="U82" s="39">
        <f t="shared" si="17"/>
        <v>48.889023929829506</v>
      </c>
      <c r="V82" s="39">
        <f t="shared" si="18"/>
        <v>228.8890239298295</v>
      </c>
      <c r="W82" s="39">
        <f t="shared" si="19"/>
        <v>-21.146064573677858</v>
      </c>
      <c r="X82" s="39">
        <f t="shared" si="20"/>
        <v>-36.09159148024885</v>
      </c>
      <c r="Y82" s="39">
        <f t="shared" si="21"/>
        <v>-40.83844112849549</v>
      </c>
      <c r="Z82" s="39">
        <f t="shared" si="22"/>
        <v>-22.068702501448243</v>
      </c>
      <c r="AA82" s="39">
        <f t="shared" si="23"/>
        <v>58.799735369134034</v>
      </c>
      <c r="AB82" s="39">
        <f t="shared" si="24"/>
        <v>48.53087167114886</v>
      </c>
      <c r="AC82" s="39">
        <f t="shared" si="25"/>
        <v>228.53087167114887</v>
      </c>
      <c r="AD82" s="39">
        <f t="shared" si="26"/>
        <v>-22.044077263258544</v>
      </c>
      <c r="AE82" s="39">
        <f t="shared" si="27"/>
        <v>34.388385106110945</v>
      </c>
      <c r="AF82" s="39">
        <f t="shared" si="28"/>
        <v>0.1678804600615333</v>
      </c>
      <c r="AG82" s="39">
        <f t="shared" si="29"/>
        <v>9.664607329579987</v>
      </c>
    </row>
    <row r="83" spans="3:33" ht="12">
      <c r="C83" s="10">
        <v>24</v>
      </c>
      <c r="D83" s="17">
        <f t="shared" si="0"/>
        <v>2023.4583333333333</v>
      </c>
      <c r="E83" s="17">
        <f t="shared" si="1"/>
        <v>114.87744525833295</v>
      </c>
      <c r="F83" s="17">
        <f t="shared" si="2"/>
        <v>191.84914037083308</v>
      </c>
      <c r="G83" s="17">
        <f t="shared" si="3"/>
        <v>114.49226615661836</v>
      </c>
      <c r="H83" s="17">
        <f t="shared" si="4"/>
        <v>116.40506742027806</v>
      </c>
      <c r="I83" s="17">
        <f t="shared" si="5"/>
        <v>21.221109267193288</v>
      </c>
      <c r="J83" s="17">
        <f t="shared" si="6"/>
        <v>161.55525799724273</v>
      </c>
      <c r="K83" s="17">
        <f t="shared" si="7"/>
        <v>-0.25116110643471135</v>
      </c>
      <c r="L83" s="36">
        <f t="shared" si="8"/>
        <v>-14.546231114692294</v>
      </c>
      <c r="M83" s="37">
        <f t="shared" si="9"/>
        <v>0.055399269906456765</v>
      </c>
      <c r="N83" s="13">
        <f t="shared" si="10"/>
        <v>232.68710579500197</v>
      </c>
      <c r="O83" s="38">
        <f t="shared" si="11"/>
        <v>-2.9889135082139133</v>
      </c>
      <c r="P83" s="17">
        <f t="shared" si="12"/>
        <v>0.972235330347919</v>
      </c>
      <c r="Q83" s="17">
        <f t="shared" si="13"/>
        <v>58.934835438579505</v>
      </c>
      <c r="R83" s="39">
        <f t="shared" si="14"/>
        <v>-0.6053427991444297</v>
      </c>
      <c r="S83" s="39">
        <f t="shared" si="15"/>
        <v>-0.707986717606034</v>
      </c>
      <c r="T83" s="39">
        <f t="shared" si="16"/>
        <v>-0.3637956456620952</v>
      </c>
      <c r="U83" s="39">
        <f t="shared" si="17"/>
        <v>49.468895691705995</v>
      </c>
      <c r="V83" s="39">
        <f t="shared" si="18"/>
        <v>229.468895691706</v>
      </c>
      <c r="W83" s="39">
        <f t="shared" si="19"/>
        <v>-21.333483462624617</v>
      </c>
      <c r="X83" s="39">
        <f t="shared" si="20"/>
        <v>-35.75941857101454</v>
      </c>
      <c r="Y83" s="39">
        <f t="shared" si="21"/>
        <v>-41.12140689341257</v>
      </c>
      <c r="Z83" s="39">
        <f t="shared" si="22"/>
        <v>-22.233589850658596</v>
      </c>
      <c r="AA83" s="39">
        <f t="shared" si="23"/>
        <v>58.85608412966265</v>
      </c>
      <c r="AB83" s="39">
        <f t="shared" si="24"/>
        <v>48.9895854054556</v>
      </c>
      <c r="AC83" s="39">
        <f t="shared" si="25"/>
        <v>228.9895854054556</v>
      </c>
      <c r="AD83" s="39">
        <f t="shared" si="26"/>
        <v>-22.195122193368228</v>
      </c>
      <c r="AE83" s="39">
        <f t="shared" si="27"/>
        <v>48.97074001212604</v>
      </c>
      <c r="AF83" s="39">
        <f t="shared" si="28"/>
        <v>0.07030869634718179</v>
      </c>
      <c r="AG83" s="39">
        <f t="shared" si="29"/>
        <v>4.031717901745332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